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-105" yWindow="-105" windowWidth="17490" windowHeight="11010" tabRatio="602" firstSheet="1" activeTab="5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وضعیت'!$A$1:$O$54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7" i="46" l="1"/>
  <c r="O45" i="46"/>
  <c r="O43" i="46"/>
  <c r="O41" i="46"/>
  <c r="O49" i="46" l="1"/>
  <c r="O37" i="46"/>
  <c r="O35" i="46"/>
  <c r="O33" i="46"/>
  <c r="O31" i="46"/>
  <c r="O29" i="46"/>
  <c r="O27" i="46"/>
  <c r="O25" i="46"/>
  <c r="O23" i="46"/>
  <c r="O21" i="46"/>
  <c r="O19" i="46"/>
  <c r="O39" i="46"/>
  <c r="O17" i="46"/>
  <c r="O15" i="46"/>
  <c r="O13" i="46"/>
  <c r="O11" i="46"/>
  <c r="O9" i="46"/>
  <c r="O7" i="46"/>
  <c r="O5" i="46"/>
  <c r="O3" i="46"/>
  <c r="P9" i="1" l="1"/>
  <c r="O52" i="46" l="1"/>
  <c r="F1" i="43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O54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<sst xmlns="http://schemas.openxmlformats.org/spreadsheetml/2006/main" count="299" uniqueCount="215">
  <si>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</si>
  <si>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</si>
  <si>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</si>
  <si>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</si>
  <si>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</si>
  <si>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</si>
  <si>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</si>
  <si>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</si>
  <si>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</si>
  <si>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</si>
  <si>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</si>
  <si>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</si>
  <si>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</si>
  <si>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</si>
  <si>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</si>
  <si>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</si>
  <si>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</si>
  <si>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</si>
  <si>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</si>
  <si>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</si>
  <si>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</si>
  <si>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</si>
  <si>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</si>
  <si>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</si>
  <si>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</si>
  <si>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</si>
  <si>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</si>
  <si>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</si>
  <si>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</si>
  <si>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</si>
  <si>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</si>
  <si>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</si>
  <si>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</si>
  <si>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</si>
  <si>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</si>
  <si>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</si>
  <si>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</si>
  <si>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</si>
  <si>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</si>
  <si>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</si>
  <si>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</si>
  <si>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</si>
  <si>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</si>
  <si>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</si>
  <si>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</si>
  <si>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</si>
  <si>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</si>
  <si>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</si>
  <si>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</si>
  <si>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</si>
  <si>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</si>
  <si>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</si>
  <si>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</si>
  <si>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</si>
  <si>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</si>
  <si>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</si>
  <si>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</si>
  <si>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</si>
  <si>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</si>
  <si>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</si>
  <si>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</si>
  <si>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</si>
  <si>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</si>
  <si>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</si>
  <si>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</si>
  <si>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</si>
  <si>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</si>
  <si>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</si>
  <si>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</si>
  <si>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</si>
  <si>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</si>
  <si>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</si>
  <si>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</si>
  <si>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</si>
  <si>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</si>
  <si>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</si>
  <si>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</si>
  <si>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</si>
  <si>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</si>
  <si>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</si>
  <si>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</si>
  <si>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</si>
  <si>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</si>
  <si>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</si>
  <si>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</si>
  <si>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</si>
  <si>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</si>
  <si>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</si>
  <si>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</si>
  <si>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</si>
  <si>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</si>
  <si>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</si>
  <si>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</si>
  <si>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</si>
  <si>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</si>
  <si>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</si>
  <si>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</si>
  <si>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</si>
  <si>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</si>
  <si>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</si>
  <si>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</si>
  <si>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</si>
  <si>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</si>
  <si>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</si>
  <si>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</si>
  <si>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</si>
  <si>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</si>
  <si>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</si>
  <si>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</si>
  <si>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</si>
  <si>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</si>
  <si>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</si>
  <si>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</si>
  <si>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</si>
  <si>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</si>
  <si>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</si>
  <si>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</si>
  <si>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</si>
  <si>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</si>
  <si>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</si>
  <si>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</si>
  <si>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</si>
  <si>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</si>
  <si>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</si>
  <si>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</si>
  <si>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</si>
  <si>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</si>
  <si>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</si>
  <si>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</si>
  <si>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</si>
  <si>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</si>
  <si>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</si>
  <si>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</si>
  <si>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</si>
  <si>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</si>
  <si>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</si>
  <si>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</si>
  <si>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</si>
  <si>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</si>
  <si>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</si>
  <si>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</si>
  <si>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</si>
  <si>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</si>
  <si>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</si>
  <si>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</si>
  <si>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r>
      <t>برآورد کل حق الزحمه نظارت فنی کارگاهی در قرارداد (B</t>
    </r>
    <r>
      <rPr>
        <b/>
        <sz val="8"/>
        <color theme="1"/>
        <rFont val="B Nazanin"/>
        <charset val="178"/>
      </rPr>
      <t>b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</si>
  <si>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</si>
  <si>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</si>
  <si>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</si>
  <si>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t>مبلغ پيمان ( C ) با در نظر گرفتن مفاد بند 1-2-7-5 بخشنامه(ريال)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</si>
  <si>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</si>
  <si>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</si>
  <si>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</si>
  <si>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</si>
  <si>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</si>
  <si>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</si>
  <si>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</si>
  <si>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</si>
  <si>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</si>
  <si>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</si>
  <si>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</si>
  <si>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</si>
  <si>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</si>
  <si>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</si>
  <si>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</si>
  <si>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</si>
  <si>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</si>
  <si>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</si>
  <si>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</si>
  <si>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</si>
  <si>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</si>
  <si>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</si>
  <si>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</si>
  <si>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</si>
  <si>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</si>
  <si>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</si>
  <si>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</si>
  <si>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</si>
  <si>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</si>
  <si>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</si>
  <si>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</si>
  <si>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</si>
  <si>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</si>
  <si>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</si>
  <si>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</si>
  <si>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</si>
  <si>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</si>
  <si>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</si>
  <si>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</si>
  <si>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</si>
  <si>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</si>
  <si>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</si>
  <si>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</si>
  <si>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</si>
  <si>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</si>
  <si>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سقف نصاب معاملات کوچک (ریال)</t>
  </si>
  <si>
    <t>مبلغ برآورد خرید تجهیزات خاص (سایر)</t>
  </si>
  <si>
    <t>سایر فهارس</t>
  </si>
  <si>
    <t>فهرست بهای واحد پایه رشته تجهیزات آب و فاضلاب</t>
  </si>
  <si>
    <t xml:space="preserve">دوره کارکرد : 1404/01/01   تا 1404/01/31 </t>
  </si>
  <si>
    <t>1404/02/20</t>
  </si>
  <si>
    <t>1404/02/21</t>
  </si>
  <si>
    <t>1404/03/14</t>
  </si>
  <si>
    <t>1404/04/01</t>
  </si>
  <si>
    <t>فهرست بهای پست‌های انتقال و فوق توزیع نیروی برق</t>
  </si>
  <si>
    <t>فهرست بهای خطوط هوایی انتقال و فوق توزیع نیروی برق</t>
  </si>
  <si>
    <t>فهرست بهای خطوط زمینی انتقال و فوق توزیع نیروی برق</t>
  </si>
  <si>
    <t>فهرست بهای توزیع نیروی برق</t>
  </si>
  <si>
    <t>2 تا 5</t>
  </si>
  <si>
    <t>6 تا 30</t>
  </si>
  <si>
    <t>2 تا 4</t>
  </si>
  <si>
    <t>5 تا 9</t>
  </si>
  <si>
    <t>6 تا 8</t>
  </si>
  <si>
    <t>1 تا 7</t>
  </si>
  <si>
    <t>8 تا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</si>
</sst>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sz val="8"/>
      <color theme="1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60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77" fillId="16" borderId="0" xfId="14" applyFont="1" applyFill="1" applyAlignment="1">
      <alignment vertical="center"/>
    </xf>
    <xf numFmtId="0" fontId="78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3" fontId="34" fillId="10" borderId="57" xfId="14" applyNumberFormat="1" applyFont="1" applyFill="1" applyBorder="1" applyAlignment="1">
      <alignment horizontal="center" vertical="center" wrapText="1"/>
    </xf>
    <xf numFmtId="0" fontId="47" fillId="8" borderId="20" xfId="0" applyFont="1" applyFill="1" applyBorder="1" applyAlignment="1">
      <alignment horizontal="center" vertical="center" wrapText="1" readingOrder="2"/>
    </xf>
    <xf numFmtId="0" fontId="47" fillId="8" borderId="34" xfId="0" applyFont="1" applyFill="1" applyBorder="1" applyAlignment="1">
      <alignment horizontal="center" vertical="center" wrapText="1" readingOrder="2"/>
    </xf>
    <xf numFmtId="0" fontId="47" fillId="8" borderId="50" xfId="0" applyFont="1" applyFill="1" applyBorder="1" applyAlignment="1">
      <alignment horizontal="center" vertical="center" wrapText="1" readingOrder="2"/>
    </xf>
    <xf numFmtId="0" fontId="34" fillId="10" borderId="30" xfId="14" applyFont="1" applyFill="1" applyBorder="1" applyAlignment="1">
      <alignment horizontal="center" vertical="center"/>
    </xf>
    <xf numFmtId="0" fontId="34" fillId="10" borderId="11" xfId="14" applyFont="1" applyFill="1" applyBorder="1" applyAlignment="1">
      <alignment horizontal="center" vertical="center" wrapText="1"/>
    </xf>
    <xf numFmtId="3" fontId="34" fillId="10" borderId="11" xfId="14" applyNumberFormat="1" applyFont="1" applyFill="1" applyBorder="1" applyAlignment="1">
      <alignment horizontal="center" vertical="center" wrapText="1"/>
    </xf>
    <xf numFmtId="0" fontId="47" fillId="8" borderId="11" xfId="0" applyFont="1" applyFill="1" applyBorder="1" applyAlignment="1">
      <alignment horizontal="center" vertical="center" wrapText="1" readingOrder="2"/>
    </xf>
    <xf numFmtId="0" fontId="47" fillId="8" borderId="16" xfId="0" applyFont="1" applyFill="1" applyBorder="1" applyAlignment="1">
      <alignment horizontal="center" vertical="center" wrapText="1" readingOrder="2"/>
    </xf>
    <xf numFmtId="0" fontId="47" fillId="3" borderId="20" xfId="0" applyFont="1" applyFill="1" applyBorder="1" applyAlignment="1">
      <alignment horizontal="center" vertical="center" wrapText="1" readingOrder="2"/>
    </xf>
    <xf numFmtId="0" fontId="47" fillId="3" borderId="34" xfId="0" applyFont="1" applyFill="1" applyBorder="1" applyAlignment="1">
      <alignment horizontal="center" vertical="center" wrapText="1" readingOrder="2"/>
    </xf>
    <xf numFmtId="3" fontId="34" fillId="10" borderId="54" xfId="14" applyNumberFormat="1" applyFont="1" applyFill="1" applyBorder="1" applyAlignment="1">
      <alignment horizontal="center" vertical="center" wrapText="1"/>
    </xf>
    <xf numFmtId="3" fontId="34" fillId="10" borderId="55" xfId="14" applyNumberFormat="1" applyFont="1" applyFill="1" applyBorder="1" applyAlignment="1">
      <alignment horizontal="center" vertical="center" wrapText="1"/>
    </xf>
    <xf numFmtId="3" fontId="34" fillId="10" borderId="34" xfId="14" applyNumberFormat="1" applyFont="1" applyFill="1" applyBorder="1" applyAlignment="1">
      <alignment horizontal="center" vertical="center" wrapText="1"/>
    </xf>
    <xf numFmtId="3" fontId="34" fillId="10" borderId="28" xfId="14" applyNumberFormat="1" applyFont="1" applyFill="1" applyBorder="1" applyAlignment="1">
      <alignment horizontal="center" vertical="center" wrapText="1"/>
    </xf>
    <xf numFmtId="3" fontId="34" fillId="10" borderId="57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3" fontId="34" fillId="10" borderId="36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46" xfId="14" applyFont="1" applyFill="1" applyBorder="1" applyAlignment="1">
      <alignment horizontal="center" vertical="center"/>
    </xf>
    <xf numFmtId="0" fontId="34" fillId="10" borderId="47" xfId="14" applyFont="1" applyFill="1" applyBorder="1" applyAlignment="1">
      <alignment horizontal="center" vertical="center"/>
    </xf>
    <xf numFmtId="0" fontId="34" fillId="10" borderId="38" xfId="14" applyFont="1" applyFill="1" applyBorder="1" applyAlignment="1">
      <alignment horizontal="center" vertical="center" wrapText="1"/>
    </xf>
    <xf numFmtId="0" fontId="34" fillId="10" borderId="23" xfId="14" applyFont="1" applyFill="1" applyBorder="1" applyAlignment="1">
      <alignment horizontal="center" vertical="center" wrapText="1"/>
    </xf>
    <xf numFmtId="0" fontId="34" fillId="10" borderId="41" xfId="14" applyFont="1" applyFill="1" applyBorder="1" applyAlignment="1">
      <alignment horizontal="center" vertical="center"/>
    </xf>
    <xf numFmtId="0" fontId="34" fillId="10" borderId="60" xfId="14" applyFont="1" applyFill="1" applyBorder="1" applyAlignment="1">
      <alignment horizontal="center" vertical="center"/>
    </xf>
    <xf numFmtId="0" fontId="34" fillId="10" borderId="25" xfId="14" applyFont="1" applyFill="1" applyBorder="1" applyAlignment="1">
      <alignment horizontal="center" vertical="center" wrapText="1"/>
    </xf>
    <xf numFmtId="0" fontId="34" fillId="10" borderId="29" xfId="14" applyFont="1" applyFill="1" applyBorder="1" applyAlignment="1">
      <alignment horizontal="center" vertical="center" wrapText="1"/>
    </xf>
    <xf numFmtId="3" fontId="34" fillId="10" borderId="64" xfId="14" applyNumberFormat="1" applyFont="1" applyFill="1" applyBorder="1" applyAlignment="1">
      <alignment horizontal="center" vertical="center" wrapText="1"/>
    </xf>
    <xf numFmtId="0" fontId="34" fillId="10" borderId="54" xfId="14" applyFont="1" applyFill="1" applyBorder="1" applyAlignment="1">
      <alignment horizontal="center" vertical="center" wrapText="1"/>
    </xf>
    <xf numFmtId="0" fontId="34" fillId="10" borderId="68" xfId="14" applyFont="1" applyFill="1" applyBorder="1" applyAlignment="1">
      <alignment horizontal="center" vertical="center" wrapText="1"/>
    </xf>
    <xf numFmtId="0" fontId="34" fillId="10" borderId="0" xfId="14" applyFont="1" applyFill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7" xfId="0" applyNumberFormat="1" applyFont="1" applyFill="1" applyBorder="1" applyAlignment="1">
      <alignment horizontal="center" vertical="center" wrapText="1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3" borderId="22" xfId="0" applyNumberFormat="1" applyFont="1" applyFill="1" applyBorder="1" applyAlignment="1">
      <alignment horizontal="center" vertical="center" wrapText="1"/>
    </xf>
    <xf numFmtId="3" fontId="17" fillId="3" borderId="65" xfId="0" applyNumberFormat="1" applyFont="1" applyFill="1" applyBorder="1" applyAlignment="1">
      <alignment horizontal="center" vertical="center" wrapText="1"/>
    </xf>
    <xf numFmtId="3" fontId="17" fillId="3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54</xdr:row>
      <xdr:rowOff>17319</xdr:rowOff>
    </xdr:from>
    <xdr:to>
      <xdr:col>2</xdr:col>
      <xdr:colOff>1437408</xdr:colOff>
      <xdr:row>54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54</xdr:row>
      <xdr:rowOff>17319</xdr:rowOff>
    </xdr:from>
    <xdr:to>
      <xdr:col>3</xdr:col>
      <xdr:colOff>1402771</xdr:colOff>
      <xdr:row>54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952499</xdr:colOff>
      <xdr:row>54</xdr:row>
      <xdr:rowOff>1</xdr:rowOff>
    </xdr:from>
    <xdr:to>
      <xdr:col>10</xdr:col>
      <xdr:colOff>138544</xdr:colOff>
      <xdr:row>54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363680</xdr:colOff>
      <xdr:row>54</xdr:row>
      <xdr:rowOff>1</xdr:rowOff>
    </xdr:from>
    <xdr:to>
      <xdr:col>14</xdr:col>
      <xdr:colOff>1662543</xdr:colOff>
      <xdr:row>54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0</xdr:colOff>
      <xdr:row>54</xdr:row>
      <xdr:rowOff>13854</xdr:rowOff>
    </xdr:from>
    <xdr:to>
      <xdr:col>4</xdr:col>
      <xdr:colOff>65809</xdr:colOff>
      <xdr:row>54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="" xmlns:a16="http://schemas.microsoft.com/office/drawing/2014/main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2</xdr:col>
      <xdr:colOff>1340217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 panose="02040503050406030204" pitchFamily="18" charset="0"/>
                        <a:cs typeface="+mn-cs"/>
                      </a:rPr>
                      <m:t>𝟕𝟗𝟐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/>
                </a:rPr>
                <a:t>〖</a:t>
              </a:r>
              <a:r>
                <a:rPr lang="en-US" sz="1000" b="1" i="0">
                  <a:latin typeface="Cambria Math" panose="02040503050406030204" pitchFamily="18" charset="0"/>
                </a:rPr>
                <a:t>𝟖𝑭</a:t>
              </a:r>
              <a:r>
                <a:rPr lang="en-US" sz="1000" b="1" i="0">
                  <a:latin typeface="Cambria Math"/>
                </a:rPr>
                <a:t>〗^(</a:t>
              </a:r>
              <a:r>
                <a:rPr lang="en-US" sz="1000" b="1" i="0">
                  <a:latin typeface="Cambria Math" panose="02040503050406030204" pitchFamily="18" charset="0"/>
                </a:rPr>
                <a:t>𝟎.𝟔𝟒</a:t>
              </a:r>
              <a:r>
                <a:rPr lang="en-US" sz="1000" b="1" i="0">
                  <a:latin typeface="Cambria Math"/>
                </a:rPr>
                <a:t>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/>
                  <a:ea typeface="Cambria Math" panose="02040503050406030204" pitchFamily="18" charset="0"/>
                  <a:cs typeface="+mn-cs"/>
                </a:rPr>
                <a:t>𝟕𝟗𝟐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P56"/>
  <sheetViews>
    <sheetView rightToLeft="1" view="pageBreakPreview" topLeftCell="A31" zoomScale="55" zoomScaleNormal="100" zoomScaleSheetLayoutView="55" workbookViewId="0">
      <selection activeCell="E48" sqref="E48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15.7109375" style="118" customWidth="1"/>
    <col min="6" max="6" width="15.7109375" style="116" customWidth="1"/>
    <col min="7" max="7" width="15.7109375" style="119" customWidth="1"/>
    <col min="8" max="8" width="15.7109375" style="115" customWidth="1"/>
    <col min="9" max="13" width="15.7109375" style="117" customWidth="1"/>
    <col min="14" max="14" width="15.7109375" style="114" customWidth="1"/>
    <col min="15" max="15" width="31" style="114" customWidth="1"/>
    <col min="16" max="24" width="15.7109375" style="114" customWidth="1"/>
    <col min="25" max="16384" width="9.140625" style="114"/>
  </cols>
  <sheetData>
    <row r="1" spans="1:16" ht="63" customHeight="1" thickBot="1">
      <c r="A1" s="298" t="s">
        <v>190</v>
      </c>
      <c r="B1" s="299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1"/>
    </row>
    <row r="2" spans="1:16" s="117" customFormat="1" ht="90" customHeight="1" thickBot="1">
      <c r="A2" s="192" t="s">
        <v>2</v>
      </c>
      <c r="B2" s="193" t="s">
        <v>136</v>
      </c>
      <c r="C2" s="191" t="s">
        <v>167</v>
      </c>
      <c r="D2" s="191" t="s">
        <v>137</v>
      </c>
      <c r="E2" s="265" t="s">
        <v>139</v>
      </c>
      <c r="F2" s="266"/>
      <c r="G2" s="266"/>
      <c r="H2" s="266"/>
      <c r="I2" s="266"/>
      <c r="J2" s="266"/>
      <c r="K2" s="266"/>
      <c r="L2" s="266"/>
      <c r="M2" s="266"/>
      <c r="N2" s="267"/>
      <c r="O2" s="194" t="s">
        <v>168</v>
      </c>
      <c r="P2" s="165" t="s">
        <v>163</v>
      </c>
    </row>
    <row r="3" spans="1:16" s="115" customFormat="1" ht="15" customHeight="1">
      <c r="A3" s="314">
        <v>1</v>
      </c>
      <c r="B3" s="268" t="s">
        <v>120</v>
      </c>
      <c r="C3" s="270"/>
      <c r="D3" s="270"/>
      <c r="E3" s="213">
        <v>2</v>
      </c>
      <c r="F3" s="135">
        <v>3</v>
      </c>
      <c r="G3" s="135">
        <v>4</v>
      </c>
      <c r="H3" s="135">
        <v>8</v>
      </c>
      <c r="I3" s="135">
        <v>9</v>
      </c>
      <c r="J3" s="135">
        <v>12</v>
      </c>
      <c r="K3" s="135">
        <v>14</v>
      </c>
      <c r="L3" s="135">
        <v>15</v>
      </c>
      <c r="M3" s="135">
        <v>16</v>
      </c>
      <c r="N3" s="136">
        <v>17</v>
      </c>
      <c r="O3" s="302">
        <f>D3--0.6*(E4+F4+G4+H4+I4+L4+M4+N4)-0.8*K4-0.5*J4</f>
        <v>0</v>
      </c>
      <c r="P3" s="164"/>
    </row>
    <row r="4" spans="1:16" s="115" customFormat="1" ht="28.5" thickBot="1">
      <c r="A4" s="315"/>
      <c r="B4" s="269"/>
      <c r="C4" s="271"/>
      <c r="D4" s="271"/>
      <c r="E4" s="166"/>
      <c r="F4" s="166"/>
      <c r="G4" s="166"/>
      <c r="H4" s="166"/>
      <c r="I4" s="166"/>
      <c r="J4" s="166"/>
      <c r="K4" s="166"/>
      <c r="L4" s="166"/>
      <c r="M4" s="166"/>
      <c r="N4" s="175"/>
      <c r="O4" s="303"/>
      <c r="P4" s="164"/>
    </row>
    <row r="5" spans="1:16" ht="66.75" customHeight="1">
      <c r="A5" s="316">
        <v>2</v>
      </c>
      <c r="B5" s="272" t="s">
        <v>125</v>
      </c>
      <c r="C5" s="286">
        <v>62585074025</v>
      </c>
      <c r="D5" s="286">
        <v>59455820323.75</v>
      </c>
      <c r="E5" s="214">
        <v>9</v>
      </c>
      <c r="F5" s="137">
        <v>12</v>
      </c>
      <c r="G5" s="137">
        <v>14</v>
      </c>
      <c r="H5" s="137">
        <v>15</v>
      </c>
      <c r="I5" s="137">
        <v>17</v>
      </c>
      <c r="J5" s="137">
        <v>18</v>
      </c>
      <c r="K5" s="80"/>
      <c r="L5" s="80"/>
      <c r="M5" s="80"/>
      <c r="N5" s="167"/>
      <c r="O5" s="304">
        <f>D5-0.8*(G6+H6+I6+J6)-0.8*F6-0.5*E6</f>
        <v>33164223759.75</v>
      </c>
    </row>
    <row r="6" spans="1:16" ht="39.950000000000003" customHeight="1" thickBot="1">
      <c r="A6" s="317"/>
      <c r="B6" s="273"/>
      <c r="C6" s="287"/>
      <c r="D6" s="287"/>
      <c r="E6" s="215"/>
      <c r="F6" s="170">
        <v>16520025430</v>
      </c>
      <c r="G6" s="170">
        <v>6758222055</v>
      </c>
      <c r="H6" s="170">
        <v>9586248220</v>
      </c>
      <c r="I6" s="170"/>
      <c r="J6" s="170"/>
      <c r="K6" s="171"/>
      <c r="L6" s="171"/>
      <c r="M6" s="171"/>
      <c r="N6" s="172"/>
      <c r="O6" s="305"/>
    </row>
    <row r="7" spans="1:16" ht="15" customHeight="1">
      <c r="A7" s="318">
        <v>3</v>
      </c>
      <c r="B7" s="274" t="s">
        <v>134</v>
      </c>
      <c r="C7" s="288"/>
      <c r="D7" s="288"/>
      <c r="E7" s="216">
        <v>12</v>
      </c>
      <c r="F7" s="138">
        <v>14</v>
      </c>
      <c r="G7" s="138">
        <v>15</v>
      </c>
      <c r="H7" s="138">
        <v>16</v>
      </c>
      <c r="I7" s="138">
        <v>17</v>
      </c>
      <c r="J7" s="138">
        <v>18</v>
      </c>
      <c r="K7" s="80"/>
      <c r="L7" s="80"/>
      <c r="M7" s="80"/>
      <c r="N7" s="167"/>
      <c r="O7" s="306">
        <f>D7-0.8*(G8+H8+I8+J8)-0.8*F8-0.5*E8</f>
        <v>0</v>
      </c>
    </row>
    <row r="8" spans="1:16" ht="39.950000000000003" customHeight="1" thickBot="1">
      <c r="A8" s="319"/>
      <c r="B8" s="275"/>
      <c r="C8" s="289"/>
      <c r="D8" s="289"/>
      <c r="E8" s="217"/>
      <c r="F8" s="121"/>
      <c r="G8" s="121"/>
      <c r="H8" s="121"/>
      <c r="I8" s="121"/>
      <c r="J8" s="121"/>
      <c r="K8" s="168"/>
      <c r="L8" s="168"/>
      <c r="M8" s="168"/>
      <c r="N8" s="169"/>
      <c r="O8" s="307"/>
    </row>
    <row r="9" spans="1:16" ht="15" customHeight="1">
      <c r="A9" s="320">
        <v>4</v>
      </c>
      <c r="B9" s="276" t="s">
        <v>121</v>
      </c>
      <c r="C9" s="282"/>
      <c r="D9" s="282"/>
      <c r="E9" s="218">
        <v>9</v>
      </c>
      <c r="F9" s="210">
        <v>11</v>
      </c>
      <c r="G9" s="210">
        <v>12</v>
      </c>
      <c r="H9" s="210">
        <v>13</v>
      </c>
      <c r="I9" s="210">
        <v>14</v>
      </c>
      <c r="J9" s="211"/>
      <c r="K9" s="211"/>
      <c r="L9" s="211"/>
      <c r="M9" s="211"/>
      <c r="N9" s="212"/>
      <c r="O9" s="308">
        <f>D9-0.8*(G10+H10+I10)-0.8*F10-0.5*E10</f>
        <v>0</v>
      </c>
    </row>
    <row r="10" spans="1:16" ht="39.950000000000003" customHeight="1" thickBot="1">
      <c r="A10" s="321"/>
      <c r="B10" s="277"/>
      <c r="C10" s="283"/>
      <c r="D10" s="283"/>
      <c r="E10" s="219"/>
      <c r="F10" s="122"/>
      <c r="G10" s="122"/>
      <c r="H10" s="122"/>
      <c r="I10" s="122"/>
      <c r="J10" s="168"/>
      <c r="K10" s="168"/>
      <c r="L10" s="168"/>
      <c r="M10" s="168"/>
      <c r="N10" s="169"/>
      <c r="O10" s="309"/>
    </row>
    <row r="11" spans="1:16" ht="15" customHeight="1">
      <c r="A11" s="290">
        <v>5</v>
      </c>
      <c r="B11" s="278" t="s">
        <v>123</v>
      </c>
      <c r="C11" s="294"/>
      <c r="D11" s="294"/>
      <c r="E11" s="220">
        <v>10</v>
      </c>
      <c r="F11" s="139">
        <v>15</v>
      </c>
      <c r="G11" s="139">
        <v>17</v>
      </c>
      <c r="H11" s="139">
        <v>18</v>
      </c>
      <c r="I11" s="139">
        <v>20</v>
      </c>
      <c r="J11" s="80"/>
      <c r="K11" s="80"/>
      <c r="L11" s="80"/>
      <c r="M11" s="80"/>
      <c r="N11" s="167"/>
      <c r="O11" s="310">
        <f>D11-0.8*(G12+H12)-0.8*I12-0.5*E12-0.55*F12</f>
        <v>0</v>
      </c>
    </row>
    <row r="12" spans="1:16" ht="39.950000000000003" customHeight="1" thickBot="1">
      <c r="A12" s="291"/>
      <c r="B12" s="279"/>
      <c r="C12" s="295"/>
      <c r="D12" s="295"/>
      <c r="E12" s="221"/>
      <c r="F12" s="123"/>
      <c r="G12" s="123"/>
      <c r="H12" s="123"/>
      <c r="I12" s="123"/>
      <c r="J12" s="168"/>
      <c r="K12" s="168"/>
      <c r="L12" s="168"/>
      <c r="M12" s="168"/>
      <c r="N12" s="169"/>
      <c r="O12" s="311"/>
    </row>
    <row r="13" spans="1:16" ht="15.6" customHeight="1">
      <c r="A13" s="263">
        <v>6</v>
      </c>
      <c r="B13" s="284" t="s">
        <v>185</v>
      </c>
      <c r="C13" s="257"/>
      <c r="D13" s="257"/>
      <c r="E13" s="222">
        <v>10</v>
      </c>
      <c r="F13" s="199">
        <v>15</v>
      </c>
      <c r="G13" s="199">
        <v>17</v>
      </c>
      <c r="H13" s="199">
        <v>20</v>
      </c>
      <c r="I13" s="199">
        <v>22</v>
      </c>
      <c r="J13" s="80"/>
      <c r="K13" s="80"/>
      <c r="L13" s="80"/>
      <c r="M13" s="80"/>
      <c r="N13" s="167"/>
      <c r="O13" s="253">
        <f>D13-0.8*(G14+I14)-0.8*H14-0.5*E14-0.65*F14</f>
        <v>0</v>
      </c>
    </row>
    <row r="14" spans="1:16" ht="39.950000000000003" customHeight="1" thickBot="1">
      <c r="A14" s="264"/>
      <c r="B14" s="285"/>
      <c r="C14" s="258"/>
      <c r="D14" s="258"/>
      <c r="E14" s="223"/>
      <c r="F14" s="200"/>
      <c r="G14" s="200"/>
      <c r="H14" s="200"/>
      <c r="I14" s="200"/>
      <c r="J14" s="168"/>
      <c r="K14" s="168"/>
      <c r="L14" s="168"/>
      <c r="M14" s="168"/>
      <c r="N14" s="169"/>
      <c r="O14" s="254"/>
    </row>
    <row r="15" spans="1:16" ht="15" customHeight="1">
      <c r="A15" s="292">
        <v>7</v>
      </c>
      <c r="B15" s="280" t="s">
        <v>124</v>
      </c>
      <c r="C15" s="296">
        <v>130852497020</v>
      </c>
      <c r="D15" s="296">
        <v>104681997616</v>
      </c>
      <c r="E15" s="224">
        <v>10</v>
      </c>
      <c r="F15" s="140">
        <v>15</v>
      </c>
      <c r="G15" s="140">
        <v>17</v>
      </c>
      <c r="H15" s="140">
        <v>20</v>
      </c>
      <c r="I15" s="140">
        <v>22</v>
      </c>
      <c r="J15" s="80"/>
      <c r="K15" s="80"/>
      <c r="L15" s="80"/>
      <c r="M15" s="80"/>
      <c r="N15" s="167"/>
      <c r="O15" s="253">
        <f>D15-0.8*(G16+I16)-0.8*H16-0.5*E16-0.55*F16</f>
        <v>95061353910.399994</v>
      </c>
    </row>
    <row r="16" spans="1:16" ht="39.950000000000003" customHeight="1" thickBot="1">
      <c r="A16" s="293"/>
      <c r="B16" s="281"/>
      <c r="C16" s="297"/>
      <c r="D16" s="297"/>
      <c r="E16" s="225"/>
      <c r="F16" s="124"/>
      <c r="G16" s="124"/>
      <c r="H16" s="124">
        <v>12025804632</v>
      </c>
      <c r="I16" s="124"/>
      <c r="J16" s="168"/>
      <c r="K16" s="168"/>
      <c r="L16" s="168"/>
      <c r="M16" s="168"/>
      <c r="N16" s="169"/>
      <c r="O16" s="254"/>
    </row>
    <row r="17" spans="1:15" ht="15" customHeight="1">
      <c r="A17" s="255">
        <v>8</v>
      </c>
      <c r="B17" s="261" t="s">
        <v>135</v>
      </c>
      <c r="C17" s="259"/>
      <c r="D17" s="259"/>
      <c r="E17" s="226">
        <v>10</v>
      </c>
      <c r="F17" s="201">
        <v>14</v>
      </c>
      <c r="G17" s="201">
        <v>15</v>
      </c>
      <c r="H17" s="80"/>
      <c r="I17" s="80"/>
      <c r="J17" s="80"/>
      <c r="K17" s="80"/>
      <c r="L17" s="80"/>
      <c r="M17" s="80"/>
      <c r="N17" s="167"/>
      <c r="O17" s="312">
        <f>D17-0.8*(F18+G18)-0.5*E18</f>
        <v>0</v>
      </c>
    </row>
    <row r="18" spans="1:15" ht="39.950000000000003" customHeight="1" thickBot="1">
      <c r="A18" s="256"/>
      <c r="B18" s="262"/>
      <c r="C18" s="260"/>
      <c r="D18" s="260"/>
      <c r="E18" s="227"/>
      <c r="F18" s="202"/>
      <c r="G18" s="202"/>
      <c r="H18" s="168"/>
      <c r="I18" s="168"/>
      <c r="J18" s="168"/>
      <c r="K18" s="168"/>
      <c r="L18" s="168"/>
      <c r="M18" s="168"/>
      <c r="N18" s="169"/>
      <c r="O18" s="313"/>
    </row>
    <row r="19" spans="1:15" ht="15" customHeight="1">
      <c r="A19" s="255">
        <v>9</v>
      </c>
      <c r="B19" s="261" t="s">
        <v>122</v>
      </c>
      <c r="C19" s="259"/>
      <c r="D19" s="259"/>
      <c r="E19" s="224">
        <v>5</v>
      </c>
      <c r="F19" s="173">
        <v>10</v>
      </c>
      <c r="G19" s="80"/>
      <c r="H19" s="80"/>
      <c r="I19" s="80"/>
      <c r="J19" s="80"/>
      <c r="K19" s="80"/>
      <c r="L19" s="80"/>
      <c r="M19" s="80"/>
      <c r="N19" s="167"/>
      <c r="O19" s="312">
        <f>D19-0.8*F20-0.5*E20</f>
        <v>0</v>
      </c>
    </row>
    <row r="20" spans="1:15" ht="39.950000000000003" customHeight="1" thickBot="1">
      <c r="A20" s="256"/>
      <c r="B20" s="262"/>
      <c r="C20" s="260"/>
      <c r="D20" s="260"/>
      <c r="E20" s="225"/>
      <c r="F20" s="174"/>
      <c r="G20" s="168"/>
      <c r="H20" s="168"/>
      <c r="I20" s="168"/>
      <c r="J20" s="168"/>
      <c r="K20" s="168"/>
      <c r="L20" s="168"/>
      <c r="M20" s="168"/>
      <c r="N20" s="169"/>
      <c r="O20" s="313"/>
    </row>
    <row r="21" spans="1:15" ht="15" customHeight="1">
      <c r="A21" s="255">
        <v>10</v>
      </c>
      <c r="B21" s="261" t="s">
        <v>119</v>
      </c>
      <c r="C21" s="259">
        <v>108505072511</v>
      </c>
      <c r="D21" s="259">
        <v>86804058009</v>
      </c>
      <c r="E21" s="224">
        <v>9</v>
      </c>
      <c r="F21" s="173">
        <v>28</v>
      </c>
      <c r="G21" s="80"/>
      <c r="H21" s="80"/>
      <c r="I21" s="80"/>
      <c r="J21" s="80"/>
      <c r="K21" s="80"/>
      <c r="L21" s="80"/>
      <c r="M21" s="80"/>
      <c r="N21" s="167"/>
      <c r="O21" s="312">
        <f>D21-0.8*F22-0.5*E22</f>
        <v>84041990713</v>
      </c>
    </row>
    <row r="22" spans="1:15" ht="39.950000000000003" customHeight="1" thickBot="1">
      <c r="A22" s="256"/>
      <c r="B22" s="262"/>
      <c r="C22" s="260"/>
      <c r="D22" s="260"/>
      <c r="E22" s="225"/>
      <c r="F22" s="174">
        <v>3452584120</v>
      </c>
      <c r="G22" s="168"/>
      <c r="H22" s="168"/>
      <c r="I22" s="168"/>
      <c r="J22" s="168"/>
      <c r="K22" s="168"/>
      <c r="L22" s="168"/>
      <c r="M22" s="168"/>
      <c r="N22" s="169"/>
      <c r="O22" s="313"/>
    </row>
    <row r="23" spans="1:15" ht="15" customHeight="1">
      <c r="A23" s="255">
        <v>11</v>
      </c>
      <c r="B23" s="261" t="s">
        <v>126</v>
      </c>
      <c r="C23" s="259"/>
      <c r="D23" s="259"/>
      <c r="E23" s="224">
        <v>8</v>
      </c>
      <c r="F23" s="173">
        <v>15</v>
      </c>
      <c r="G23" s="80"/>
      <c r="H23" s="80"/>
      <c r="I23" s="80"/>
      <c r="J23" s="80"/>
      <c r="K23" s="80"/>
      <c r="L23" s="80"/>
      <c r="M23" s="80"/>
      <c r="N23" s="167"/>
      <c r="O23" s="312">
        <f>D23-0.8*F24-0.5*E24</f>
        <v>0</v>
      </c>
    </row>
    <row r="24" spans="1:15" ht="39.950000000000003" customHeight="1" thickBot="1">
      <c r="A24" s="256"/>
      <c r="B24" s="262"/>
      <c r="C24" s="260"/>
      <c r="D24" s="260"/>
      <c r="E24" s="225"/>
      <c r="F24" s="174"/>
      <c r="G24" s="168"/>
      <c r="H24" s="168"/>
      <c r="I24" s="168"/>
      <c r="J24" s="168"/>
      <c r="K24" s="168"/>
      <c r="L24" s="168"/>
      <c r="M24" s="168"/>
      <c r="N24" s="169"/>
      <c r="O24" s="313"/>
    </row>
    <row r="25" spans="1:15" ht="15" customHeight="1">
      <c r="A25" s="255">
        <v>12</v>
      </c>
      <c r="B25" s="261" t="s">
        <v>127</v>
      </c>
      <c r="C25" s="259"/>
      <c r="D25" s="259"/>
      <c r="E25" s="224">
        <v>7</v>
      </c>
      <c r="F25" s="173">
        <v>11</v>
      </c>
      <c r="G25" s="80"/>
      <c r="H25" s="80"/>
      <c r="I25" s="80"/>
      <c r="J25" s="80"/>
      <c r="K25" s="80"/>
      <c r="L25" s="80"/>
      <c r="M25" s="80"/>
      <c r="N25" s="167"/>
      <c r="O25" s="312">
        <f>D25-0.8*F26-0.5*E26</f>
        <v>0</v>
      </c>
    </row>
    <row r="26" spans="1:15" ht="39.950000000000003" customHeight="1" thickBot="1">
      <c r="A26" s="256"/>
      <c r="B26" s="262"/>
      <c r="C26" s="260"/>
      <c r="D26" s="260"/>
      <c r="E26" s="225"/>
      <c r="F26" s="174"/>
      <c r="G26" s="168"/>
      <c r="H26" s="168"/>
      <c r="I26" s="168"/>
      <c r="J26" s="168"/>
      <c r="K26" s="168"/>
      <c r="L26" s="168"/>
      <c r="M26" s="168"/>
      <c r="N26" s="169"/>
      <c r="O26" s="313"/>
    </row>
    <row r="27" spans="1:15" ht="15" customHeight="1">
      <c r="A27" s="255">
        <v>13</v>
      </c>
      <c r="B27" s="261" t="s">
        <v>132</v>
      </c>
      <c r="C27" s="259"/>
      <c r="D27" s="259"/>
      <c r="E27" s="228"/>
      <c r="F27" s="80"/>
      <c r="G27" s="80"/>
      <c r="H27" s="80"/>
      <c r="I27" s="80"/>
      <c r="J27" s="80"/>
      <c r="K27" s="80"/>
      <c r="L27" s="80"/>
      <c r="M27" s="80"/>
      <c r="N27" s="167"/>
      <c r="O27" s="326">
        <f>0.5*D27</f>
        <v>0</v>
      </c>
    </row>
    <row r="28" spans="1:15" ht="39.950000000000003" customHeight="1" thickBot="1">
      <c r="A28" s="256"/>
      <c r="B28" s="262"/>
      <c r="C28" s="260"/>
      <c r="D28" s="260"/>
      <c r="E28" s="229"/>
      <c r="F28" s="168"/>
      <c r="G28" s="168"/>
      <c r="H28" s="168"/>
      <c r="I28" s="168"/>
      <c r="J28" s="168"/>
      <c r="K28" s="168"/>
      <c r="L28" s="168"/>
      <c r="M28" s="168"/>
      <c r="N28" s="169"/>
      <c r="O28" s="327"/>
    </row>
    <row r="29" spans="1:15" ht="15" customHeight="1">
      <c r="A29" s="255">
        <v>14</v>
      </c>
      <c r="B29" s="261" t="s">
        <v>133</v>
      </c>
      <c r="C29" s="259"/>
      <c r="D29" s="259"/>
      <c r="E29" s="228"/>
      <c r="F29" s="80"/>
      <c r="G29" s="80"/>
      <c r="H29" s="80"/>
      <c r="I29" s="80"/>
      <c r="J29" s="80"/>
      <c r="K29" s="80"/>
      <c r="L29" s="80"/>
      <c r="M29" s="80"/>
      <c r="N29" s="167"/>
      <c r="O29" s="326">
        <f>0.5*D29</f>
        <v>0</v>
      </c>
    </row>
    <row r="30" spans="1:15" ht="39.950000000000003" customHeight="1" thickBot="1">
      <c r="A30" s="256"/>
      <c r="B30" s="262"/>
      <c r="C30" s="260"/>
      <c r="D30" s="260"/>
      <c r="E30" s="229"/>
      <c r="F30" s="168"/>
      <c r="G30" s="168"/>
      <c r="H30" s="168"/>
      <c r="I30" s="168"/>
      <c r="J30" s="168"/>
      <c r="K30" s="168"/>
      <c r="L30" s="168"/>
      <c r="M30" s="168"/>
      <c r="N30" s="169"/>
      <c r="O30" s="327"/>
    </row>
    <row r="31" spans="1:15" ht="15" customHeight="1">
      <c r="A31" s="255">
        <v>15</v>
      </c>
      <c r="B31" s="261" t="s">
        <v>128</v>
      </c>
      <c r="C31" s="259"/>
      <c r="D31" s="259"/>
      <c r="E31" s="230">
        <v>6</v>
      </c>
      <c r="F31" s="203">
        <v>7</v>
      </c>
      <c r="G31" s="80"/>
      <c r="H31" s="80"/>
      <c r="I31" s="80"/>
      <c r="J31" s="80"/>
      <c r="K31" s="80"/>
      <c r="L31" s="80"/>
      <c r="M31" s="80"/>
      <c r="N31" s="167"/>
      <c r="O31" s="312">
        <f>D31-0.5*(E32+F32)</f>
        <v>0</v>
      </c>
    </row>
    <row r="32" spans="1:15" ht="39.950000000000003" customHeight="1" thickBot="1">
      <c r="A32" s="256"/>
      <c r="B32" s="262"/>
      <c r="C32" s="260"/>
      <c r="D32" s="260"/>
      <c r="E32" s="225"/>
      <c r="F32" s="174"/>
      <c r="G32" s="168"/>
      <c r="H32" s="168"/>
      <c r="I32" s="168"/>
      <c r="J32" s="168"/>
      <c r="K32" s="168"/>
      <c r="L32" s="168"/>
      <c r="M32" s="168"/>
      <c r="N32" s="169"/>
      <c r="O32" s="313"/>
    </row>
    <row r="33" spans="1:15" ht="15" customHeight="1">
      <c r="A33" s="255">
        <v>16</v>
      </c>
      <c r="B33" s="261" t="s">
        <v>131</v>
      </c>
      <c r="C33" s="259"/>
      <c r="D33" s="259"/>
      <c r="E33" s="228"/>
      <c r="F33" s="80"/>
      <c r="G33" s="80"/>
      <c r="H33" s="80"/>
      <c r="I33" s="80"/>
      <c r="J33" s="80"/>
      <c r="K33" s="80"/>
      <c r="L33" s="80"/>
      <c r="M33" s="80"/>
      <c r="N33" s="167"/>
      <c r="O33" s="312">
        <f>D33-0.8*(SUM(E34:N34))</f>
        <v>0</v>
      </c>
    </row>
    <row r="34" spans="1:15" ht="39.950000000000003" customHeight="1" thickBot="1">
      <c r="A34" s="256"/>
      <c r="B34" s="262"/>
      <c r="C34" s="260"/>
      <c r="D34" s="260"/>
      <c r="E34" s="229"/>
      <c r="F34" s="168"/>
      <c r="G34" s="168"/>
      <c r="H34" s="168"/>
      <c r="I34" s="168"/>
      <c r="J34" s="168"/>
      <c r="K34" s="168"/>
      <c r="L34" s="168"/>
      <c r="M34" s="168"/>
      <c r="N34" s="169"/>
      <c r="O34" s="313"/>
    </row>
    <row r="35" spans="1:15" ht="15" customHeight="1">
      <c r="A35" s="255">
        <v>17</v>
      </c>
      <c r="B35" s="261" t="s">
        <v>130</v>
      </c>
      <c r="C35" s="259"/>
      <c r="D35" s="259"/>
      <c r="E35" s="228"/>
      <c r="F35" s="80"/>
      <c r="G35" s="80"/>
      <c r="H35" s="80"/>
      <c r="I35" s="80"/>
      <c r="J35" s="80"/>
      <c r="K35" s="80"/>
      <c r="L35" s="80"/>
      <c r="M35" s="80"/>
      <c r="N35" s="167"/>
      <c r="O35" s="312">
        <f>D35-0.8*(SUM(E36:N36))</f>
        <v>0</v>
      </c>
    </row>
    <row r="36" spans="1:15" ht="39.950000000000003" customHeight="1" thickBot="1">
      <c r="A36" s="256"/>
      <c r="B36" s="262"/>
      <c r="C36" s="260"/>
      <c r="D36" s="260"/>
      <c r="E36" s="229"/>
      <c r="F36" s="168"/>
      <c r="G36" s="168"/>
      <c r="H36" s="168"/>
      <c r="I36" s="168"/>
      <c r="J36" s="168"/>
      <c r="K36" s="168"/>
      <c r="L36" s="168"/>
      <c r="M36" s="168"/>
      <c r="N36" s="169"/>
      <c r="O36" s="313"/>
    </row>
    <row r="37" spans="1:15" ht="15" customHeight="1">
      <c r="A37" s="332">
        <v>18</v>
      </c>
      <c r="B37" s="334" t="s">
        <v>129</v>
      </c>
      <c r="C37" s="259"/>
      <c r="D37" s="259"/>
      <c r="E37" s="228"/>
      <c r="F37" s="80"/>
      <c r="G37" s="80"/>
      <c r="H37" s="80"/>
      <c r="I37" s="80"/>
      <c r="J37" s="80"/>
      <c r="K37" s="80"/>
      <c r="L37" s="80"/>
      <c r="M37" s="80"/>
      <c r="N37" s="167"/>
      <c r="O37" s="312">
        <f>D37-0.8*(SUM(E38:N38))</f>
        <v>0</v>
      </c>
    </row>
    <row r="38" spans="1:15" ht="39.950000000000003" customHeight="1" thickBot="1">
      <c r="A38" s="333"/>
      <c r="B38" s="335"/>
      <c r="C38" s="260"/>
      <c r="D38" s="260"/>
      <c r="E38" s="236"/>
      <c r="F38" s="171"/>
      <c r="G38" s="171"/>
      <c r="H38" s="171"/>
      <c r="I38" s="171"/>
      <c r="J38" s="171"/>
      <c r="K38" s="171"/>
      <c r="L38" s="171"/>
      <c r="M38" s="171"/>
      <c r="N38" s="172"/>
      <c r="O38" s="328"/>
    </row>
    <row r="39" spans="1:15" ht="19.5" customHeight="1" thickBot="1">
      <c r="A39" s="336">
        <v>19</v>
      </c>
      <c r="B39" s="338" t="s">
        <v>198</v>
      </c>
      <c r="C39" s="248"/>
      <c r="D39" s="250"/>
      <c r="E39" s="238"/>
      <c r="F39" s="239"/>
      <c r="G39" s="239"/>
      <c r="H39" s="239"/>
      <c r="I39" s="239"/>
      <c r="J39" s="239"/>
      <c r="K39" s="239"/>
      <c r="L39" s="239"/>
      <c r="M39" s="239"/>
      <c r="N39" s="240"/>
      <c r="O39" s="252">
        <f>0.4*D39</f>
        <v>0</v>
      </c>
    </row>
    <row r="40" spans="1:15" ht="39.950000000000003" customHeight="1" thickBot="1">
      <c r="A40" s="337"/>
      <c r="B40" s="339"/>
      <c r="C40" s="249"/>
      <c r="D40" s="251"/>
      <c r="E40" s="229"/>
      <c r="F40" s="168"/>
      <c r="G40" s="168"/>
      <c r="H40" s="168"/>
      <c r="I40" s="168"/>
      <c r="J40" s="168"/>
      <c r="K40" s="168"/>
      <c r="L40" s="168"/>
      <c r="M40" s="168"/>
      <c r="N40" s="169"/>
      <c r="O40" s="252"/>
    </row>
    <row r="41" spans="1:15" ht="21" customHeight="1" thickBot="1">
      <c r="A41" s="336">
        <v>20</v>
      </c>
      <c r="B41" s="338" t="s">
        <v>204</v>
      </c>
      <c r="C41" s="248"/>
      <c r="D41" s="250"/>
      <c r="E41" s="246" t="s">
        <v>208</v>
      </c>
      <c r="F41" s="246" t="s">
        <v>209</v>
      </c>
      <c r="G41" s="239"/>
      <c r="H41" s="239"/>
      <c r="I41" s="239"/>
      <c r="J41" s="239"/>
      <c r="K41" s="239"/>
      <c r="L41" s="239"/>
      <c r="M41" s="239"/>
      <c r="N41" s="240"/>
      <c r="O41" s="252">
        <f>D41-0.9*F42-0.98*E42</f>
        <v>0</v>
      </c>
    </row>
    <row r="42" spans="1:15" ht="39.950000000000003" customHeight="1" thickBot="1">
      <c r="A42" s="337"/>
      <c r="B42" s="339"/>
      <c r="C42" s="249"/>
      <c r="D42" s="251"/>
      <c r="E42" s="225"/>
      <c r="F42" s="225"/>
      <c r="G42" s="168"/>
      <c r="H42" s="168"/>
      <c r="I42" s="168"/>
      <c r="J42" s="168"/>
      <c r="K42" s="168"/>
      <c r="L42" s="168"/>
      <c r="M42" s="168"/>
      <c r="N42" s="169"/>
      <c r="O42" s="252"/>
    </row>
    <row r="43" spans="1:15" ht="21.75" customHeight="1" thickBot="1">
      <c r="A43" s="336">
        <v>21</v>
      </c>
      <c r="B43" s="338" t="s">
        <v>205</v>
      </c>
      <c r="C43" s="248"/>
      <c r="D43" s="250"/>
      <c r="E43" s="246" t="s">
        <v>210</v>
      </c>
      <c r="F43" s="247" t="s">
        <v>211</v>
      </c>
      <c r="G43" s="239"/>
      <c r="H43" s="239"/>
      <c r="I43" s="239"/>
      <c r="J43" s="239"/>
      <c r="K43" s="239"/>
      <c r="L43" s="239"/>
      <c r="M43" s="239"/>
      <c r="N43" s="240"/>
      <c r="O43" s="252">
        <f>D43-0.85*F44-0.9*E44</f>
        <v>0</v>
      </c>
    </row>
    <row r="44" spans="1:15" ht="39.950000000000003" customHeight="1" thickBot="1">
      <c r="A44" s="337"/>
      <c r="B44" s="339"/>
      <c r="C44" s="249"/>
      <c r="D44" s="251"/>
      <c r="E44" s="225"/>
      <c r="F44" s="225"/>
      <c r="G44" s="168"/>
      <c r="H44" s="168"/>
      <c r="I44" s="168"/>
      <c r="J44" s="168"/>
      <c r="K44" s="168"/>
      <c r="L44" s="168"/>
      <c r="M44" s="168"/>
      <c r="N44" s="169"/>
      <c r="O44" s="252"/>
    </row>
    <row r="45" spans="1:15" ht="21" customHeight="1" thickBot="1">
      <c r="A45" s="336">
        <v>22</v>
      </c>
      <c r="B45" s="338" t="s">
        <v>206</v>
      </c>
      <c r="C45" s="248"/>
      <c r="D45" s="250"/>
      <c r="E45" s="246" t="s">
        <v>208</v>
      </c>
      <c r="F45" s="247" t="s">
        <v>212</v>
      </c>
      <c r="G45" s="239"/>
      <c r="H45" s="239"/>
      <c r="I45" s="239"/>
      <c r="J45" s="239"/>
      <c r="K45" s="239"/>
      <c r="L45" s="239"/>
      <c r="M45" s="239"/>
      <c r="N45" s="240"/>
      <c r="O45" s="252">
        <f>D45-0.85*F46-0.9*E46</f>
        <v>0</v>
      </c>
    </row>
    <row r="46" spans="1:15" ht="39.950000000000003" customHeight="1" thickBot="1">
      <c r="A46" s="337"/>
      <c r="B46" s="339"/>
      <c r="C46" s="249"/>
      <c r="D46" s="251"/>
      <c r="E46" s="225"/>
      <c r="F46" s="225"/>
      <c r="G46" s="168"/>
      <c r="H46" s="168"/>
      <c r="I46" s="168"/>
      <c r="J46" s="168"/>
      <c r="K46" s="168"/>
      <c r="L46" s="168"/>
      <c r="M46" s="168"/>
      <c r="N46" s="169"/>
      <c r="O46" s="252"/>
    </row>
    <row r="47" spans="1:15" ht="21" customHeight="1" thickBot="1">
      <c r="A47" s="336">
        <v>23</v>
      </c>
      <c r="B47" s="338" t="s">
        <v>207</v>
      </c>
      <c r="C47" s="248"/>
      <c r="D47" s="250"/>
      <c r="E47" s="246" t="s">
        <v>213</v>
      </c>
      <c r="F47" s="247" t="s">
        <v>214</v>
      </c>
      <c r="G47" s="239"/>
      <c r="H47" s="239"/>
      <c r="I47" s="239"/>
      <c r="J47" s="239"/>
      <c r="K47" s="239"/>
      <c r="L47" s="239"/>
      <c r="M47" s="239"/>
      <c r="N47" s="240"/>
      <c r="O47" s="252">
        <f>D47-0.85*F48-0.9*E48</f>
        <v>0</v>
      </c>
    </row>
    <row r="48" spans="1:15" ht="39.950000000000003" customHeight="1" thickBot="1">
      <c r="A48" s="337"/>
      <c r="B48" s="339"/>
      <c r="C48" s="249"/>
      <c r="D48" s="251"/>
      <c r="E48" s="225"/>
      <c r="F48" s="225"/>
      <c r="G48" s="168"/>
      <c r="H48" s="168"/>
      <c r="I48" s="168"/>
      <c r="J48" s="168"/>
      <c r="K48" s="168"/>
      <c r="L48" s="168"/>
      <c r="M48" s="168"/>
      <c r="N48" s="169"/>
      <c r="O48" s="252"/>
    </row>
    <row r="49" spans="1:16" ht="18" customHeight="1" thickBot="1">
      <c r="A49" s="343">
        <v>24</v>
      </c>
      <c r="B49" s="341" t="s">
        <v>196</v>
      </c>
      <c r="C49" s="250"/>
      <c r="D49" s="250"/>
      <c r="E49" s="80"/>
      <c r="F49" s="80"/>
      <c r="G49" s="80"/>
      <c r="H49" s="80"/>
      <c r="I49" s="80"/>
      <c r="J49" s="80"/>
      <c r="K49" s="80"/>
      <c r="L49" s="80"/>
      <c r="M49" s="80"/>
      <c r="N49" s="167"/>
      <c r="O49" s="252">
        <f>D49-0.8*(SUM(E50:N50))</f>
        <v>0</v>
      </c>
    </row>
    <row r="50" spans="1:16" ht="64.5" customHeight="1" thickBot="1">
      <c r="A50" s="343"/>
      <c r="B50" s="342"/>
      <c r="C50" s="340"/>
      <c r="D50" s="340"/>
      <c r="E50" s="171"/>
      <c r="F50" s="171"/>
      <c r="G50" s="171"/>
      <c r="H50" s="171"/>
      <c r="I50" s="171"/>
      <c r="J50" s="171"/>
      <c r="K50" s="171"/>
      <c r="L50" s="171"/>
      <c r="M50" s="171"/>
      <c r="N50" s="172"/>
      <c r="O50" s="252"/>
    </row>
    <row r="51" spans="1:16" ht="64.5" customHeight="1" thickBot="1">
      <c r="A51" s="241">
        <v>25</v>
      </c>
      <c r="B51" s="242" t="s">
        <v>197</v>
      </c>
      <c r="C51" s="243"/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5"/>
      <c r="O51" s="237">
        <v>0</v>
      </c>
    </row>
    <row r="52" spans="1:16" ht="46.5" customHeight="1" thickBot="1">
      <c r="A52" s="329" t="s">
        <v>169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1"/>
      <c r="O52" s="195">
        <f>SUM(O3:O51)</f>
        <v>212267568383.14999</v>
      </c>
      <c r="P52" s="165" t="s">
        <v>101</v>
      </c>
    </row>
    <row r="53" spans="1:16" ht="48.75" customHeight="1" thickBot="1">
      <c r="A53" s="322" t="s">
        <v>170</v>
      </c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4"/>
      <c r="O53" s="196">
        <v>199476918944.47</v>
      </c>
      <c r="P53" s="165" t="s">
        <v>157</v>
      </c>
    </row>
    <row r="54" spans="1:16" ht="51.75" customHeight="1" thickBot="1">
      <c r="A54" s="322" t="s">
        <v>142</v>
      </c>
      <c r="B54" s="323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4"/>
      <c r="O54" s="196">
        <f>O52-O53</f>
        <v>12790649438.679993</v>
      </c>
      <c r="P54" s="165" t="s">
        <v>101</v>
      </c>
    </row>
    <row r="55" spans="1:16" ht="78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1:16" ht="273" customHeight="1">
      <c r="C56" s="163" t="s">
        <v>156</v>
      </c>
      <c r="D56" s="163" t="s">
        <v>155</v>
      </c>
      <c r="E56" s="325" t="s">
        <v>153</v>
      </c>
      <c r="F56" s="325"/>
      <c r="G56" s="325"/>
      <c r="H56" s="325"/>
      <c r="I56" s="325"/>
      <c r="J56" s="325"/>
      <c r="K56" s="325"/>
      <c r="L56" s="325"/>
      <c r="M56" s="325"/>
      <c r="N56" s="325"/>
      <c r="O56" s="163" t="s">
        <v>101</v>
      </c>
    </row>
  </sheetData>
  <mergeCells count="126">
    <mergeCell ref="O49:O50"/>
    <mergeCell ref="C49:C50"/>
    <mergeCell ref="D49:D50"/>
    <mergeCell ref="B49:B50"/>
    <mergeCell ref="A49:A50"/>
    <mergeCell ref="D37:D38"/>
    <mergeCell ref="D35:D36"/>
    <mergeCell ref="B35:B36"/>
    <mergeCell ref="A53:N53"/>
    <mergeCell ref="O39:O40"/>
    <mergeCell ref="B47:B48"/>
    <mergeCell ref="C47:C48"/>
    <mergeCell ref="D47:D48"/>
    <mergeCell ref="A47:A48"/>
    <mergeCell ref="B45:B46"/>
    <mergeCell ref="A45:A46"/>
    <mergeCell ref="C45:C46"/>
    <mergeCell ref="D45:D46"/>
    <mergeCell ref="A43:A44"/>
    <mergeCell ref="B43:B44"/>
    <mergeCell ref="C43:C44"/>
    <mergeCell ref="D43:D44"/>
    <mergeCell ref="A41:A42"/>
    <mergeCell ref="B41:B42"/>
    <mergeCell ref="A54:N54"/>
    <mergeCell ref="E56:N56"/>
    <mergeCell ref="A27:A28"/>
    <mergeCell ref="B27:B28"/>
    <mergeCell ref="C27:C28"/>
    <mergeCell ref="D27:D28"/>
    <mergeCell ref="O27:O28"/>
    <mergeCell ref="A29:A30"/>
    <mergeCell ref="B29:B30"/>
    <mergeCell ref="C29:C30"/>
    <mergeCell ref="D29:D30"/>
    <mergeCell ref="O29:O30"/>
    <mergeCell ref="C35:C36"/>
    <mergeCell ref="C37:C38"/>
    <mergeCell ref="O35:O36"/>
    <mergeCell ref="O37:O38"/>
    <mergeCell ref="A52:N52"/>
    <mergeCell ref="A37:A38"/>
    <mergeCell ref="B37:B38"/>
    <mergeCell ref="B33:B34"/>
    <mergeCell ref="A39:A40"/>
    <mergeCell ref="D39:D40"/>
    <mergeCell ref="C39:C40"/>
    <mergeCell ref="B39:B40"/>
    <mergeCell ref="A1:O1"/>
    <mergeCell ref="C21:C22"/>
    <mergeCell ref="C23:C24"/>
    <mergeCell ref="C25:C26"/>
    <mergeCell ref="C31:C32"/>
    <mergeCell ref="C33:C34"/>
    <mergeCell ref="C17:C18"/>
    <mergeCell ref="O3:O4"/>
    <mergeCell ref="O5:O6"/>
    <mergeCell ref="O7:O8"/>
    <mergeCell ref="O9:O10"/>
    <mergeCell ref="O11:O12"/>
    <mergeCell ref="O15:O16"/>
    <mergeCell ref="O31:O32"/>
    <mergeCell ref="O33:O34"/>
    <mergeCell ref="O17:O18"/>
    <mergeCell ref="O19:O20"/>
    <mergeCell ref="O21:O22"/>
    <mergeCell ref="O23:O24"/>
    <mergeCell ref="O25:O26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E2:N2"/>
    <mergeCell ref="B3:B4"/>
    <mergeCell ref="D3:D4"/>
    <mergeCell ref="B5:B6"/>
    <mergeCell ref="B7:B8"/>
    <mergeCell ref="B9:B10"/>
    <mergeCell ref="B11:B12"/>
    <mergeCell ref="B15:B16"/>
    <mergeCell ref="D17:D18"/>
    <mergeCell ref="C9:C10"/>
    <mergeCell ref="B13:B14"/>
    <mergeCell ref="D13:D14"/>
    <mergeCell ref="C3:C4"/>
    <mergeCell ref="C5:C6"/>
    <mergeCell ref="C7:C8"/>
    <mergeCell ref="C41:C42"/>
    <mergeCell ref="D41:D42"/>
    <mergeCell ref="O41:O42"/>
    <mergeCell ref="O43:O44"/>
    <mergeCell ref="O45:O46"/>
    <mergeCell ref="O47:O48"/>
    <mergeCell ref="O13:O14"/>
    <mergeCell ref="A17:A18"/>
    <mergeCell ref="A35:A36"/>
    <mergeCell ref="C13:C14"/>
    <mergeCell ref="A33:A34"/>
    <mergeCell ref="D23:D24"/>
    <mergeCell ref="D25:D26"/>
    <mergeCell ref="D31:D32"/>
    <mergeCell ref="D33:D34"/>
    <mergeCell ref="B23:B24"/>
    <mergeCell ref="B25:B26"/>
    <mergeCell ref="B31:B32"/>
    <mergeCell ref="A23:A24"/>
    <mergeCell ref="A25:A26"/>
    <mergeCell ref="A31:A32"/>
    <mergeCell ref="A13:A14"/>
  </mergeCells>
  <printOptions horizontalCentered="1"/>
  <pageMargins left="0.2" right="0.2" top="0.25" bottom="0.25" header="0.3" footer="0.3"/>
  <pageSetup paperSize="9" scale="3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1" operator="beginsWith" id="{20311FC2-6519-4A07-9CDA-EA57DD9D7FE8}">
            <xm:f>LEFT(E5,LEN($O$2))=$O$2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K5 I17:N51 J15:N16 H17:H18 E33:F40 E43:F43 E45:F45 E47:F47 E49:F51</xm:sqref>
        </x14:conditionalFormatting>
        <x14:conditionalFormatting xmlns:xm="http://schemas.microsoft.com/office/excel/2006/main">
          <x14:cfRule type="beginsWith" priority="10" operator="beginsWith" id="{9209216E-22CE-403C-993F-1BFA50A72B31}">
            <xm:f>LEFT(K6,LEN($O$2))=$O$2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K6:N12</xm:sqref>
        </x14:conditionalFormatting>
        <x14:conditionalFormatting xmlns:xm="http://schemas.microsoft.com/office/excel/2006/main">
          <x14:cfRule type="beginsWith" priority="9" operator="beginsWith" id="{909770C7-EC53-4357-A410-85FEACB77E7E}">
            <xm:f>LEFT(L5,LEN($O$2))=$O$2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L5:N5</xm:sqref>
        </x14:conditionalFormatting>
        <x14:conditionalFormatting xmlns:xm="http://schemas.microsoft.com/office/excel/2006/main">
          <x14:cfRule type="beginsWith" priority="8" operator="beginsWith" id="{E9AC5740-B576-48EC-8EEC-34798911B456}">
            <xm:f>LEFT(J9,LEN($O$2))=$O$2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J9:J12</xm:sqref>
        </x14:conditionalFormatting>
        <x14:conditionalFormatting xmlns:xm="http://schemas.microsoft.com/office/excel/2006/main">
          <x14:cfRule type="beginsWith" priority="7" operator="beginsWith" id="{938D1FE3-E553-4570-93D6-8F5E3D758ED3}">
            <xm:f>LEFT(G19,LEN($O$2))=$O$2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G19:H51</xm:sqref>
        </x14:conditionalFormatting>
        <x14:conditionalFormatting xmlns:xm="http://schemas.microsoft.com/office/excel/2006/main">
          <x14:cfRule type="beginsWith" priority="6" operator="beginsWith" id="{DEEDE327-C95A-4F60-A17B-79FD1E5F6C77}">
            <xm:f>LEFT(F27,LEN($O$2))=$O$2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F27:F30</xm:sqref>
        </x14:conditionalFormatting>
        <x14:conditionalFormatting xmlns:xm="http://schemas.microsoft.com/office/excel/2006/main">
          <x14:cfRule type="beginsWith" priority="5" operator="beginsWith" id="{58F6758B-9BBC-4A9C-A485-BA7F9FA4FD8A}">
            <xm:f>LEFT(E27,LEN($O$2))=$O$2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beginsWith" priority="4" operator="beginsWith" id="{AE6087F9-F78C-41F2-A487-6CC4CB9B2486}">
            <xm:f>LEFT(K13,LEN($O$2))=$O$2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K13:N14</xm:sqref>
        </x14:conditionalFormatting>
        <x14:conditionalFormatting xmlns:xm="http://schemas.microsoft.com/office/excel/2006/main">
          <x14:cfRule type="beginsWith" priority="3" operator="beginsWith" id="{798527A5-8064-4B67-83D4-986407B969F8}">
            <xm:f>LEFT(J13,LEN($O$2))=$O$2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J13:J14</xm:sqref>
        </x14:conditionalFormatting>
        <x14:conditionalFormatting xmlns:xm="http://schemas.microsoft.com/office/excel/2006/main">
          <x14:cfRule type="beginsWith" priority="2" operator="beginsWith" id="{0AF1A77D-1086-4591-BE13-C777A5FFF6C7}">
            <xm:f>LEFT(J7,LEN($O$2))=$O$2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J7:J8</xm:sqref>
        </x14:conditionalFormatting>
        <x14:conditionalFormatting xmlns:xm="http://schemas.microsoft.com/office/excel/2006/main">
          <x14:cfRule type="beginsWith" priority="1" operator="beginsWith" id="{19F1EF02-CDE5-4ED8-B7BB-4302F5DC146F}">
            <xm:f>LEFT(E41,LEN($O$2))=$O$2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E41:F41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I5" sqref="I5:I6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453" t="s">
        <v>102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5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344" t="s">
        <v>191</v>
      </c>
      <c r="B2" s="345"/>
      <c r="C2" s="345"/>
      <c r="D2" s="346"/>
      <c r="E2" s="347" t="s">
        <v>199</v>
      </c>
      <c r="F2" s="348"/>
      <c r="G2" s="349"/>
      <c r="H2" s="350" t="s">
        <v>23</v>
      </c>
      <c r="I2" s="351"/>
      <c r="J2" s="350" t="s">
        <v>25</v>
      </c>
      <c r="K2" s="351"/>
      <c r="L2" s="350" t="s">
        <v>24</v>
      </c>
      <c r="M2" s="361"/>
      <c r="N2" s="361"/>
      <c r="O2" s="361"/>
      <c r="P2" s="361"/>
      <c r="Q2" s="351"/>
      <c r="R2" s="428" t="s">
        <v>92</v>
      </c>
      <c r="S2" s="429"/>
      <c r="T2" s="429"/>
      <c r="U2" s="429"/>
      <c r="V2" s="429"/>
      <c r="W2" s="430"/>
      <c r="X2" s="425" t="s">
        <v>175</v>
      </c>
      <c r="Y2" s="426"/>
      <c r="Z2" s="427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70" t="s">
        <v>28</v>
      </c>
      <c r="C4" s="459"/>
      <c r="D4" s="459"/>
      <c r="E4" s="459"/>
      <c r="F4" s="459"/>
      <c r="G4" s="471"/>
      <c r="H4" s="23" t="s">
        <v>86</v>
      </c>
      <c r="I4" s="24" t="s">
        <v>105</v>
      </c>
      <c r="J4" s="459" t="s">
        <v>26</v>
      </c>
      <c r="K4" s="460"/>
      <c r="L4" s="461" t="s">
        <v>87</v>
      </c>
      <c r="M4" s="462"/>
      <c r="N4" s="462"/>
      <c r="O4" s="462"/>
      <c r="P4" s="462"/>
      <c r="Q4" s="460"/>
      <c r="R4" s="441" t="s">
        <v>88</v>
      </c>
      <c r="S4" s="442"/>
      <c r="T4" s="442"/>
      <c r="U4" s="442"/>
      <c r="V4" s="442"/>
      <c r="W4" s="442"/>
      <c r="X4" s="442"/>
      <c r="Y4" s="442"/>
      <c r="Z4" s="443"/>
    </row>
    <row r="5" spans="1:34" ht="80.099999999999994" customHeight="1">
      <c r="A5" s="463">
        <v>2</v>
      </c>
      <c r="B5" s="368" t="s">
        <v>32</v>
      </c>
      <c r="C5" s="369"/>
      <c r="D5" s="369"/>
      <c r="E5" s="369"/>
      <c r="F5" s="369"/>
      <c r="G5" s="370"/>
      <c r="H5" s="465">
        <v>856922400</v>
      </c>
      <c r="I5" s="379">
        <v>785855420</v>
      </c>
      <c r="J5" s="386" t="s">
        <v>85</v>
      </c>
      <c r="K5" s="387"/>
      <c r="L5" s="419">
        <v>0</v>
      </c>
      <c r="M5" s="420"/>
      <c r="N5" s="420"/>
      <c r="O5" s="420"/>
      <c r="P5" s="420"/>
      <c r="Q5" s="421"/>
      <c r="R5" s="444" t="s">
        <v>37</v>
      </c>
      <c r="S5" s="444"/>
      <c r="T5" s="444"/>
      <c r="U5" s="444"/>
      <c r="V5" s="444"/>
      <c r="W5" s="444"/>
      <c r="X5" s="444"/>
      <c r="Y5" s="444"/>
      <c r="Z5" s="445"/>
    </row>
    <row r="6" spans="1:34" ht="80.099999999999994" customHeight="1" thickBot="1">
      <c r="A6" s="464"/>
      <c r="B6" s="371"/>
      <c r="C6" s="372"/>
      <c r="D6" s="372"/>
      <c r="E6" s="372"/>
      <c r="F6" s="372"/>
      <c r="G6" s="373"/>
      <c r="H6" s="466">
        <v>856922400</v>
      </c>
      <c r="I6" s="380"/>
      <c r="J6" s="388" t="s">
        <v>60</v>
      </c>
      <c r="K6" s="389"/>
      <c r="L6" s="395">
        <v>0</v>
      </c>
      <c r="M6" s="396"/>
      <c r="N6" s="396"/>
      <c r="O6" s="396"/>
      <c r="P6" s="396"/>
      <c r="Q6" s="397"/>
      <c r="R6" s="446" t="s">
        <v>37</v>
      </c>
      <c r="S6" s="446"/>
      <c r="T6" s="446"/>
      <c r="U6" s="446"/>
      <c r="V6" s="446"/>
      <c r="W6" s="446"/>
      <c r="X6" s="446"/>
      <c r="Y6" s="446"/>
      <c r="Z6" s="447"/>
    </row>
    <row r="7" spans="1:34" s="9" customFormat="1" ht="80.099999999999994" customHeight="1">
      <c r="A7" s="456">
        <v>3</v>
      </c>
      <c r="B7" s="374" t="s">
        <v>29</v>
      </c>
      <c r="C7" s="472" t="s">
        <v>34</v>
      </c>
      <c r="D7" s="472"/>
      <c r="E7" s="472"/>
      <c r="F7" s="472"/>
      <c r="G7" s="473"/>
      <c r="H7" s="467">
        <v>4984321050</v>
      </c>
      <c r="I7" s="381">
        <v>3987456840</v>
      </c>
      <c r="J7" s="468" t="s">
        <v>85</v>
      </c>
      <c r="K7" s="469"/>
      <c r="L7" s="392">
        <f>'4 پرداخت ماهانه و کارگاهی'!G9</f>
        <v>316472012.60000002</v>
      </c>
      <c r="M7" s="393"/>
      <c r="N7" s="393"/>
      <c r="O7" s="393"/>
      <c r="P7" s="393"/>
      <c r="Q7" s="394"/>
      <c r="R7" s="448" t="s">
        <v>160</v>
      </c>
      <c r="S7" s="449"/>
      <c r="T7" s="449"/>
      <c r="U7" s="449"/>
      <c r="V7" s="449"/>
      <c r="W7" s="449"/>
      <c r="X7" s="449"/>
      <c r="Y7" s="449"/>
      <c r="Z7" s="450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457"/>
      <c r="B8" s="375"/>
      <c r="C8" s="364"/>
      <c r="D8" s="364"/>
      <c r="E8" s="364"/>
      <c r="F8" s="364"/>
      <c r="G8" s="365"/>
      <c r="H8" s="401">
        <v>3987456840</v>
      </c>
      <c r="I8" s="382"/>
      <c r="J8" s="405" t="s">
        <v>60</v>
      </c>
      <c r="K8" s="406"/>
      <c r="L8" s="355"/>
      <c r="M8" s="356"/>
      <c r="N8" s="356"/>
      <c r="O8" s="356"/>
      <c r="P8" s="356"/>
      <c r="Q8" s="357"/>
      <c r="R8" s="451"/>
      <c r="S8" s="451"/>
      <c r="T8" s="451"/>
      <c r="U8" s="451"/>
      <c r="V8" s="451"/>
      <c r="W8" s="451"/>
      <c r="X8" s="451"/>
      <c r="Y8" s="451"/>
      <c r="Z8" s="452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457"/>
      <c r="B9" s="375"/>
      <c r="C9" s="362" t="s">
        <v>35</v>
      </c>
      <c r="D9" s="362"/>
      <c r="E9" s="362"/>
      <c r="F9" s="362"/>
      <c r="G9" s="363"/>
      <c r="H9" s="385">
        <v>846607000</v>
      </c>
      <c r="I9" s="383">
        <v>539361408</v>
      </c>
      <c r="J9" s="407" t="s">
        <v>85</v>
      </c>
      <c r="K9" s="408"/>
      <c r="L9" s="358">
        <v>0</v>
      </c>
      <c r="M9" s="359"/>
      <c r="N9" s="359"/>
      <c r="O9" s="359"/>
      <c r="P9" s="359"/>
      <c r="Q9" s="360"/>
      <c r="R9" s="433" t="s">
        <v>37</v>
      </c>
      <c r="S9" s="433"/>
      <c r="T9" s="433"/>
      <c r="U9" s="433"/>
      <c r="V9" s="433"/>
      <c r="W9" s="433"/>
      <c r="X9" s="433"/>
      <c r="Y9" s="433"/>
      <c r="Z9" s="434"/>
      <c r="AH9" s="7"/>
    </row>
    <row r="10" spans="1:34" ht="80.099999999999994" customHeight="1">
      <c r="A10" s="457"/>
      <c r="B10" s="375"/>
      <c r="C10" s="362"/>
      <c r="D10" s="362"/>
      <c r="E10" s="362"/>
      <c r="F10" s="362"/>
      <c r="G10" s="363"/>
      <c r="H10" s="385">
        <v>677285600</v>
      </c>
      <c r="I10" s="384"/>
      <c r="J10" s="407" t="s">
        <v>60</v>
      </c>
      <c r="K10" s="408"/>
      <c r="L10" s="358">
        <v>0</v>
      </c>
      <c r="M10" s="359"/>
      <c r="N10" s="359"/>
      <c r="O10" s="359"/>
      <c r="P10" s="359"/>
      <c r="Q10" s="360"/>
      <c r="R10" s="433" t="s">
        <v>37</v>
      </c>
      <c r="S10" s="433"/>
      <c r="T10" s="433"/>
      <c r="U10" s="433"/>
      <c r="V10" s="433"/>
      <c r="W10" s="433"/>
      <c r="X10" s="433"/>
      <c r="Y10" s="433"/>
      <c r="Z10" s="434"/>
      <c r="AH10" s="7"/>
    </row>
    <row r="11" spans="1:34" ht="80.099999999999994" customHeight="1">
      <c r="A11" s="457"/>
      <c r="B11" s="375"/>
      <c r="C11" s="364" t="s">
        <v>33</v>
      </c>
      <c r="D11" s="364"/>
      <c r="E11" s="364"/>
      <c r="F11" s="364"/>
      <c r="G11" s="365"/>
      <c r="H11" s="401">
        <v>14346307530</v>
      </c>
      <c r="I11" s="403">
        <v>11477046019.856539</v>
      </c>
      <c r="J11" s="405" t="s">
        <v>85</v>
      </c>
      <c r="K11" s="406"/>
      <c r="L11" s="355">
        <f>'4 پرداخت ماهانه و کارگاهی'!G12</f>
        <v>2437203331.0859661</v>
      </c>
      <c r="M11" s="356"/>
      <c r="N11" s="356"/>
      <c r="O11" s="356"/>
      <c r="P11" s="356"/>
      <c r="Q11" s="357"/>
      <c r="R11" s="435" t="s">
        <v>161</v>
      </c>
      <c r="S11" s="435"/>
      <c r="T11" s="435"/>
      <c r="U11" s="435"/>
      <c r="V11" s="435"/>
      <c r="W11" s="435"/>
      <c r="X11" s="435"/>
      <c r="Y11" s="435"/>
      <c r="Z11" s="436"/>
      <c r="AH11" s="7"/>
    </row>
    <row r="12" spans="1:34" ht="80.099999999999994" customHeight="1" thickBot="1">
      <c r="A12" s="458"/>
      <c r="B12" s="376"/>
      <c r="C12" s="366"/>
      <c r="D12" s="366"/>
      <c r="E12" s="366"/>
      <c r="F12" s="366"/>
      <c r="G12" s="367"/>
      <c r="H12" s="402">
        <v>12032386956.301212</v>
      </c>
      <c r="I12" s="404"/>
      <c r="J12" s="377" t="s">
        <v>60</v>
      </c>
      <c r="K12" s="378"/>
      <c r="L12" s="352"/>
      <c r="M12" s="353"/>
      <c r="N12" s="353"/>
      <c r="O12" s="353"/>
      <c r="P12" s="353"/>
      <c r="Q12" s="354"/>
      <c r="R12" s="437"/>
      <c r="S12" s="437"/>
      <c r="T12" s="437"/>
      <c r="U12" s="437"/>
      <c r="V12" s="437"/>
      <c r="W12" s="437"/>
      <c r="X12" s="437"/>
      <c r="Y12" s="437"/>
      <c r="Z12" s="438"/>
    </row>
    <row r="13" spans="1:34" ht="80.099999999999994" customHeight="1">
      <c r="A13" s="409">
        <v>4</v>
      </c>
      <c r="B13" s="411" t="s">
        <v>30</v>
      </c>
      <c r="C13" s="412"/>
      <c r="D13" s="412"/>
      <c r="E13" s="412"/>
      <c r="F13" s="412"/>
      <c r="G13" s="413"/>
      <c r="H13" s="422">
        <v>454840100</v>
      </c>
      <c r="I13" s="417">
        <v>0</v>
      </c>
      <c r="J13" s="424" t="s">
        <v>85</v>
      </c>
      <c r="K13" s="387"/>
      <c r="L13" s="419">
        <v>0</v>
      </c>
      <c r="M13" s="420"/>
      <c r="N13" s="420"/>
      <c r="O13" s="420"/>
      <c r="P13" s="420"/>
      <c r="Q13" s="421"/>
      <c r="R13" s="439" t="s">
        <v>37</v>
      </c>
      <c r="S13" s="439"/>
      <c r="T13" s="439"/>
      <c r="U13" s="439"/>
      <c r="V13" s="439"/>
      <c r="W13" s="439"/>
      <c r="X13" s="439"/>
      <c r="Y13" s="439"/>
      <c r="Z13" s="440"/>
    </row>
    <row r="14" spans="1:34" ht="80.099999999999994" customHeight="1" thickBot="1">
      <c r="A14" s="410"/>
      <c r="B14" s="414"/>
      <c r="C14" s="415"/>
      <c r="D14" s="415"/>
      <c r="E14" s="415"/>
      <c r="F14" s="415"/>
      <c r="G14" s="416"/>
      <c r="H14" s="423">
        <v>454840100</v>
      </c>
      <c r="I14" s="418"/>
      <c r="J14" s="398" t="s">
        <v>60</v>
      </c>
      <c r="K14" s="389"/>
      <c r="L14" s="395">
        <v>0</v>
      </c>
      <c r="M14" s="396"/>
      <c r="N14" s="396"/>
      <c r="O14" s="396"/>
      <c r="P14" s="396"/>
      <c r="Q14" s="397"/>
      <c r="R14" s="431" t="s">
        <v>37</v>
      </c>
      <c r="S14" s="431"/>
      <c r="T14" s="431"/>
      <c r="U14" s="431"/>
      <c r="V14" s="431"/>
      <c r="W14" s="431"/>
      <c r="X14" s="431"/>
      <c r="Y14" s="431"/>
      <c r="Z14" s="432"/>
    </row>
    <row r="15" spans="1:34" ht="80.099999999999994" customHeight="1">
      <c r="A15" s="480">
        <v>5</v>
      </c>
      <c r="B15" s="482" t="s">
        <v>31</v>
      </c>
      <c r="C15" s="483"/>
      <c r="D15" s="483"/>
      <c r="E15" s="483"/>
      <c r="F15" s="483"/>
      <c r="G15" s="484"/>
      <c r="H15" s="399">
        <v>70000000</v>
      </c>
      <c r="I15" s="490">
        <v>70000000</v>
      </c>
      <c r="J15" s="468" t="s">
        <v>85</v>
      </c>
      <c r="K15" s="469"/>
      <c r="L15" s="392">
        <f>'5 پرداخت پشتیبانی'!Q13</f>
        <v>0</v>
      </c>
      <c r="M15" s="393"/>
      <c r="N15" s="393"/>
      <c r="O15" s="393"/>
      <c r="P15" s="393"/>
      <c r="Q15" s="394"/>
      <c r="R15" s="449" t="s">
        <v>37</v>
      </c>
      <c r="S15" s="449"/>
      <c r="T15" s="449"/>
      <c r="U15" s="449"/>
      <c r="V15" s="449"/>
      <c r="W15" s="449"/>
      <c r="X15" s="449"/>
      <c r="Y15" s="449"/>
      <c r="Z15" s="450"/>
    </row>
    <row r="16" spans="1:34" ht="80.099999999999994" customHeight="1" thickBot="1">
      <c r="A16" s="481"/>
      <c r="B16" s="485"/>
      <c r="C16" s="486"/>
      <c r="D16" s="486"/>
      <c r="E16" s="486"/>
      <c r="F16" s="486"/>
      <c r="G16" s="487"/>
      <c r="H16" s="400">
        <v>70000000</v>
      </c>
      <c r="I16" s="491"/>
      <c r="J16" s="488" t="s">
        <v>60</v>
      </c>
      <c r="K16" s="488"/>
      <c r="L16" s="489">
        <v>0</v>
      </c>
      <c r="M16" s="489"/>
      <c r="N16" s="489"/>
      <c r="O16" s="489"/>
      <c r="P16" s="489"/>
      <c r="Q16" s="489"/>
      <c r="R16" s="474" t="s">
        <v>37</v>
      </c>
      <c r="S16" s="474"/>
      <c r="T16" s="474"/>
      <c r="U16" s="474"/>
      <c r="V16" s="474"/>
      <c r="W16" s="474"/>
      <c r="X16" s="474"/>
      <c r="Y16" s="474"/>
      <c r="Z16" s="475"/>
    </row>
    <row r="17" spans="1:26" ht="80.099999999999994" customHeight="1">
      <c r="A17" s="503" t="s">
        <v>91</v>
      </c>
      <c r="B17" s="504"/>
      <c r="C17" s="504"/>
      <c r="D17" s="504"/>
      <c r="E17" s="504"/>
      <c r="F17" s="504"/>
      <c r="G17" s="505"/>
      <c r="H17" s="509">
        <v>21558998080</v>
      </c>
      <c r="I17" s="390">
        <f>I5+I7+I9+I11+I13+I15</f>
        <v>16859719687.856539</v>
      </c>
      <c r="J17" s="478" t="s">
        <v>85</v>
      </c>
      <c r="K17" s="478"/>
      <c r="L17" s="477">
        <f>L5+L7+L9+L11+L13+L15</f>
        <v>2753675343.685966</v>
      </c>
      <c r="M17" s="477"/>
      <c r="N17" s="477"/>
      <c r="O17" s="477"/>
      <c r="P17" s="477"/>
      <c r="Q17" s="477"/>
      <c r="R17" s="499" t="s">
        <v>165</v>
      </c>
      <c r="S17" s="499"/>
      <c r="T17" s="499"/>
      <c r="U17" s="499"/>
      <c r="V17" s="499"/>
      <c r="W17" s="499"/>
      <c r="X17" s="499"/>
      <c r="Y17" s="499"/>
      <c r="Z17" s="500"/>
    </row>
    <row r="18" spans="1:26" ht="79.5" customHeight="1" thickBot="1">
      <c r="A18" s="506"/>
      <c r="B18" s="507"/>
      <c r="C18" s="507"/>
      <c r="D18" s="507"/>
      <c r="E18" s="507"/>
      <c r="F18" s="507"/>
      <c r="G18" s="508"/>
      <c r="H18" s="510"/>
      <c r="I18" s="391"/>
      <c r="J18" s="479" t="s">
        <v>60</v>
      </c>
      <c r="K18" s="479"/>
      <c r="L18" s="476">
        <f>L6+L8+L10+L12+L14+L16</f>
        <v>0</v>
      </c>
      <c r="M18" s="476"/>
      <c r="N18" s="476"/>
      <c r="O18" s="476"/>
      <c r="P18" s="476"/>
      <c r="Q18" s="476"/>
      <c r="R18" s="501" t="s">
        <v>37</v>
      </c>
      <c r="S18" s="501"/>
      <c r="T18" s="501"/>
      <c r="U18" s="501"/>
      <c r="V18" s="501"/>
      <c r="W18" s="501"/>
      <c r="X18" s="501"/>
      <c r="Y18" s="501"/>
      <c r="Z18" s="502"/>
    </row>
    <row r="19" spans="1:26" ht="79.5" customHeight="1" thickBot="1">
      <c r="A19" s="492" t="s">
        <v>188</v>
      </c>
      <c r="B19" s="493"/>
      <c r="C19" s="493"/>
      <c r="D19" s="493"/>
      <c r="E19" s="493"/>
      <c r="F19" s="493"/>
      <c r="G19" s="494"/>
      <c r="H19" s="204"/>
      <c r="I19" s="205"/>
      <c r="J19" s="495"/>
      <c r="K19" s="495"/>
      <c r="L19" s="496"/>
      <c r="M19" s="496"/>
      <c r="N19" s="496"/>
      <c r="O19" s="496"/>
      <c r="P19" s="496"/>
      <c r="Q19" s="496"/>
      <c r="R19" s="497"/>
      <c r="S19" s="497"/>
      <c r="T19" s="497"/>
      <c r="U19" s="497"/>
      <c r="V19" s="497"/>
      <c r="W19" s="497"/>
      <c r="X19" s="497"/>
      <c r="Y19" s="497"/>
      <c r="Z19" s="498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19:G19"/>
    <mergeCell ref="J19:K19"/>
    <mergeCell ref="L19:Q19"/>
    <mergeCell ref="R19:Z19"/>
    <mergeCell ref="R17:Z17"/>
    <mergeCell ref="R18:Z18"/>
    <mergeCell ref="A17:G18"/>
    <mergeCell ref="H17:H18"/>
    <mergeCell ref="A15:A16"/>
    <mergeCell ref="B15:G16"/>
    <mergeCell ref="J15:K15"/>
    <mergeCell ref="J16:K16"/>
    <mergeCell ref="L16:Q16"/>
    <mergeCell ref="I15:I16"/>
    <mergeCell ref="R15:Z15"/>
    <mergeCell ref="R16:Z16"/>
    <mergeCell ref="L18:Q18"/>
    <mergeCell ref="L17:Q17"/>
    <mergeCell ref="J17:K17"/>
    <mergeCell ref="J18:K1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3:A14"/>
    <mergeCell ref="B13:G14"/>
    <mergeCell ref="I13:I14"/>
    <mergeCell ref="L13:Q13"/>
    <mergeCell ref="H13:H14"/>
    <mergeCell ref="J13:K13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A31" zoomScaleNormal="100" zoomScaleSheetLayoutView="100" workbookViewId="0">
      <selection activeCell="E40" sqref="E40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20" t="s">
        <v>150</v>
      </c>
      <c r="B1" s="521"/>
      <c r="C1" s="521"/>
      <c r="D1" s="521"/>
      <c r="E1" s="521"/>
      <c r="F1" s="518" t="str">
        <f>'1 خلاصه مالی صورت‌حساب'!E2</f>
        <v xml:space="preserve">دوره کارکرد : 1404/01/01   تا 1404/01/31 </v>
      </c>
      <c r="G1" s="518"/>
      <c r="H1" s="519"/>
      <c r="O1" s="30" t="s">
        <v>158</v>
      </c>
    </row>
    <row r="2" spans="1:15" ht="27" customHeight="1">
      <c r="A2" s="522"/>
      <c r="B2" s="523"/>
      <c r="C2" s="523"/>
      <c r="D2" s="523"/>
      <c r="E2" s="523"/>
      <c r="F2" s="516" t="str">
        <f>'1 خلاصه مالی صورت‌حساب'!A2</f>
        <v>صورت حساب  شماره :</v>
      </c>
      <c r="G2" s="516"/>
      <c r="H2" s="517"/>
      <c r="O2" s="30" t="s">
        <v>159</v>
      </c>
    </row>
    <row r="3" spans="1:15" s="31" customFormat="1" ht="27" customHeight="1" thickBot="1">
      <c r="A3" s="524"/>
      <c r="B3" s="525"/>
      <c r="C3" s="525"/>
      <c r="D3" s="525"/>
      <c r="E3" s="525"/>
      <c r="F3" s="526" t="s">
        <v>174</v>
      </c>
      <c r="G3" s="526"/>
      <c r="H3" s="527"/>
    </row>
    <row r="4" spans="1:15" s="32" customFormat="1" ht="34.5" customHeight="1">
      <c r="A4" s="511" t="s">
        <v>61</v>
      </c>
      <c r="B4" s="512"/>
      <c r="C4" s="512"/>
      <c r="D4" s="512"/>
      <c r="E4" s="512"/>
      <c r="F4" s="512"/>
      <c r="G4" s="512"/>
      <c r="H4" s="513"/>
      <c r="I4" s="46" t="s">
        <v>103</v>
      </c>
    </row>
    <row r="5" spans="1:15" s="33" customFormat="1" ht="30" customHeight="1">
      <c r="A5" s="535" t="s">
        <v>3</v>
      </c>
      <c r="B5" s="514" t="s">
        <v>11</v>
      </c>
      <c r="C5" s="514" t="s">
        <v>62</v>
      </c>
      <c r="D5" s="515" t="s">
        <v>117</v>
      </c>
      <c r="E5" s="515" t="s">
        <v>38</v>
      </c>
      <c r="F5" s="514" t="s">
        <v>39</v>
      </c>
      <c r="G5" s="533" t="s">
        <v>82</v>
      </c>
      <c r="H5" s="95" t="s">
        <v>40</v>
      </c>
    </row>
    <row r="6" spans="1:15" s="34" customFormat="1" ht="30" customHeight="1" thickBot="1">
      <c r="A6" s="536"/>
      <c r="B6" s="515"/>
      <c r="C6" s="515"/>
      <c r="D6" s="537"/>
      <c r="E6" s="537"/>
      <c r="F6" s="515"/>
      <c r="G6" s="534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158</v>
      </c>
      <c r="E9" s="58">
        <v>3700000</v>
      </c>
      <c r="F9" s="143">
        <v>0.62</v>
      </c>
      <c r="G9" s="143">
        <v>1.25</v>
      </c>
      <c r="H9" s="177">
        <f>IF(D9="خدمات ارائه شده است",E9*F9*G9,0)</f>
        <v>2867500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158</v>
      </c>
      <c r="E10" s="58">
        <v>7600000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5890000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158</v>
      </c>
      <c r="E11" s="58">
        <v>7600000</v>
      </c>
      <c r="F11" s="143">
        <v>0.62</v>
      </c>
      <c r="G11" s="143">
        <f t="shared" ref="G11:G40" si="1">G$9</f>
        <v>1.25</v>
      </c>
      <c r="H11" s="177">
        <f t="shared" si="0"/>
        <v>5890000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158</v>
      </c>
      <c r="E12" s="58">
        <v>7600000</v>
      </c>
      <c r="F12" s="143">
        <v>0.62</v>
      </c>
      <c r="G12" s="143">
        <f t="shared" si="1"/>
        <v>1.25</v>
      </c>
      <c r="H12" s="177">
        <f t="shared" si="0"/>
        <v>5890000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158</v>
      </c>
      <c r="E13" s="58">
        <v>7600000</v>
      </c>
      <c r="F13" s="144">
        <v>0.62</v>
      </c>
      <c r="G13" s="144">
        <f t="shared" si="1"/>
        <v>1.25</v>
      </c>
      <c r="H13" s="178">
        <f t="shared" si="0"/>
        <v>5890000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158</v>
      </c>
      <c r="E15" s="58">
        <v>9400000</v>
      </c>
      <c r="F15" s="143">
        <v>0.62</v>
      </c>
      <c r="G15" s="143">
        <f t="shared" si="1"/>
        <v>1.25</v>
      </c>
      <c r="H15" s="177">
        <f t="shared" si="0"/>
        <v>7285000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158</v>
      </c>
      <c r="E16" s="58">
        <v>7600000</v>
      </c>
      <c r="F16" s="143">
        <v>0.62</v>
      </c>
      <c r="G16" s="143">
        <f t="shared" si="1"/>
        <v>1.25</v>
      </c>
      <c r="H16" s="177">
        <f t="shared" si="0"/>
        <v>5890000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158</v>
      </c>
      <c r="E17" s="58">
        <v>7600000</v>
      </c>
      <c r="F17" s="143">
        <v>0.62</v>
      </c>
      <c r="G17" s="143">
        <f t="shared" si="1"/>
        <v>1.25</v>
      </c>
      <c r="H17" s="177">
        <f t="shared" si="0"/>
        <v>5890000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158</v>
      </c>
      <c r="E18" s="58">
        <v>7600000</v>
      </c>
      <c r="F18" s="143">
        <v>0.62</v>
      </c>
      <c r="G18" s="143">
        <f t="shared" si="1"/>
        <v>1.25</v>
      </c>
      <c r="H18" s="177">
        <f t="shared" si="0"/>
        <v>5890000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158</v>
      </c>
      <c r="E19" s="58">
        <v>7600000</v>
      </c>
      <c r="F19" s="144">
        <v>0.62</v>
      </c>
      <c r="G19" s="144">
        <f t="shared" si="1"/>
        <v>1.25</v>
      </c>
      <c r="H19" s="178">
        <f t="shared" si="0"/>
        <v>5890000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158</v>
      </c>
      <c r="E21" s="59">
        <v>46900000</v>
      </c>
      <c r="F21" s="145">
        <v>0.62</v>
      </c>
      <c r="G21" s="145">
        <f t="shared" si="1"/>
        <v>1.25</v>
      </c>
      <c r="H21" s="181">
        <f t="shared" si="0"/>
        <v>36347500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158</v>
      </c>
      <c r="E22" s="59">
        <v>46900000</v>
      </c>
      <c r="F22" s="145">
        <v>0.62</v>
      </c>
      <c r="G22" s="145">
        <f t="shared" si="1"/>
        <v>1.25</v>
      </c>
      <c r="H22" s="181">
        <f t="shared" si="0"/>
        <v>36347500</v>
      </c>
    </row>
    <row r="23" spans="1:8" ht="30" customHeight="1">
      <c r="A23" s="66">
        <v>301020300</v>
      </c>
      <c r="B23" s="56" t="s">
        <v>189</v>
      </c>
      <c r="C23" s="67" t="s">
        <v>43</v>
      </c>
      <c r="D23" s="61" t="s">
        <v>158</v>
      </c>
      <c r="E23" s="59">
        <v>24400000</v>
      </c>
      <c r="F23" s="145">
        <v>0.62</v>
      </c>
      <c r="G23" s="145">
        <f t="shared" si="1"/>
        <v>1.25</v>
      </c>
      <c r="H23" s="181">
        <f t="shared" si="0"/>
        <v>18910000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158</v>
      </c>
      <c r="E24" s="59">
        <v>86200000</v>
      </c>
      <c r="F24" s="145">
        <v>0.62</v>
      </c>
      <c r="G24" s="145">
        <f t="shared" si="1"/>
        <v>1.25</v>
      </c>
      <c r="H24" s="181">
        <f t="shared" si="0"/>
        <v>66805000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158</v>
      </c>
      <c r="E25" s="59">
        <v>9400000</v>
      </c>
      <c r="F25" s="145">
        <v>0.62</v>
      </c>
      <c r="G25" s="145">
        <f t="shared" si="1"/>
        <v>1.25</v>
      </c>
      <c r="H25" s="181">
        <f t="shared" si="0"/>
        <v>7285000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158</v>
      </c>
      <c r="E26" s="59">
        <v>9400000</v>
      </c>
      <c r="F26" s="146">
        <v>0.62</v>
      </c>
      <c r="G26" s="146">
        <f t="shared" si="1"/>
        <v>1.25</v>
      </c>
      <c r="H26" s="182">
        <f t="shared" si="0"/>
        <v>7285000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187</v>
      </c>
      <c r="C28" s="67" t="s">
        <v>118</v>
      </c>
      <c r="D28" s="61" t="s">
        <v>158</v>
      </c>
      <c r="E28" s="59">
        <v>30100000</v>
      </c>
      <c r="F28" s="145">
        <v>0.62</v>
      </c>
      <c r="G28" s="145">
        <f t="shared" si="1"/>
        <v>1.25</v>
      </c>
      <c r="H28" s="181">
        <f t="shared" si="0"/>
        <v>23327500</v>
      </c>
    </row>
    <row r="29" spans="1:8" ht="30" customHeight="1">
      <c r="A29" s="81">
        <v>301030200</v>
      </c>
      <c r="B29" s="56" t="s">
        <v>186</v>
      </c>
      <c r="C29" s="72" t="s">
        <v>49</v>
      </c>
      <c r="D29" s="61" t="s">
        <v>158</v>
      </c>
      <c r="E29" s="59">
        <v>14900000</v>
      </c>
      <c r="F29" s="145">
        <v>0.62</v>
      </c>
      <c r="G29" s="145">
        <f t="shared" si="1"/>
        <v>1.25</v>
      </c>
      <c r="H29" s="181">
        <f t="shared" si="0"/>
        <v>11547500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158</v>
      </c>
      <c r="E30" s="59">
        <v>14900000</v>
      </c>
      <c r="F30" s="145">
        <v>0.62</v>
      </c>
      <c r="G30" s="145">
        <f t="shared" si="1"/>
        <v>1.25</v>
      </c>
      <c r="H30" s="181">
        <f t="shared" si="0"/>
        <v>11547500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158</v>
      </c>
      <c r="E31" s="59">
        <v>14900000</v>
      </c>
      <c r="F31" s="145">
        <v>0.62</v>
      </c>
      <c r="G31" s="145">
        <f t="shared" si="1"/>
        <v>1.25</v>
      </c>
      <c r="H31" s="181">
        <f t="shared" si="0"/>
        <v>11547500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158</v>
      </c>
      <c r="E32" s="59">
        <v>22500000</v>
      </c>
      <c r="F32" s="145">
        <v>0.62</v>
      </c>
      <c r="G32" s="145">
        <f t="shared" si="1"/>
        <v>1.25</v>
      </c>
      <c r="H32" s="181">
        <f t="shared" si="0"/>
        <v>17437500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192</v>
      </c>
      <c r="C34" s="72" t="s">
        <v>78</v>
      </c>
      <c r="D34" s="61" t="s">
        <v>158</v>
      </c>
      <c r="E34" s="59">
        <v>36400000</v>
      </c>
      <c r="F34" s="145">
        <v>0.62</v>
      </c>
      <c r="G34" s="145">
        <f t="shared" si="1"/>
        <v>1.25</v>
      </c>
      <c r="H34" s="181">
        <f t="shared" si="0"/>
        <v>28210000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158</v>
      </c>
      <c r="E36" s="65">
        <v>14900000</v>
      </c>
      <c r="F36" s="146">
        <v>0.62</v>
      </c>
      <c r="G36" s="146">
        <f t="shared" si="1"/>
        <v>1.25</v>
      </c>
      <c r="H36" s="182">
        <f t="shared" si="0"/>
        <v>11547500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158</v>
      </c>
      <c r="E38" s="82">
        <v>39300000</v>
      </c>
      <c r="F38" s="147">
        <v>0.62</v>
      </c>
      <c r="G38" s="147">
        <f t="shared" si="1"/>
        <v>1.25</v>
      </c>
      <c r="H38" s="183">
        <f t="shared" si="0"/>
        <v>30457500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158</v>
      </c>
      <c r="E40" s="82">
        <v>14900000</v>
      </c>
      <c r="F40" s="147">
        <v>0.62</v>
      </c>
      <c r="G40" s="147">
        <f t="shared" si="1"/>
        <v>1.25</v>
      </c>
      <c r="H40" s="183">
        <f t="shared" si="0"/>
        <v>11547500</v>
      </c>
    </row>
    <row r="41" spans="1:8" ht="30" customHeight="1" thickBot="1">
      <c r="A41" s="528" t="s">
        <v>94</v>
      </c>
      <c r="B41" s="529"/>
      <c r="C41" s="529"/>
      <c r="D41" s="529"/>
      <c r="E41" s="529"/>
      <c r="F41" s="530"/>
      <c r="G41" s="531">
        <f>SUM(H9:H40)</f>
        <v>387422500</v>
      </c>
      <c r="H41" s="532"/>
    </row>
  </sheetData>
  <mergeCells count="14">
    <mergeCell ref="A41:F41"/>
    <mergeCell ref="G41:H41"/>
    <mergeCell ref="G5:G6"/>
    <mergeCell ref="A5:A6"/>
    <mergeCell ref="B5:B6"/>
    <mergeCell ref="D5:D6"/>
    <mergeCell ref="E5:E6"/>
    <mergeCell ref="A4:H4"/>
    <mergeCell ref="C5:C6"/>
    <mergeCell ref="F5:F6"/>
    <mergeCell ref="F2:H2"/>
    <mergeCell ref="F1:H1"/>
    <mergeCell ref="A1:E3"/>
    <mergeCell ref="F3:H3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zoomScale="50" zoomScaleNormal="40" zoomScaleSheetLayoutView="50" workbookViewId="0">
      <selection activeCell="H7" sqref="H7:K16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38" t="s">
        <v>151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40"/>
      <c r="V2" s="426" t="str">
        <f>'1 خلاصه مالی صورت‌حساب'!E2</f>
        <v xml:space="preserve">دوره کارکرد : 1404/01/01   تا 1404/01/31 </v>
      </c>
      <c r="W2" s="426"/>
      <c r="X2" s="427"/>
      <c r="Y2" s="3"/>
      <c r="Z2" s="3"/>
      <c r="AA2" s="3"/>
      <c r="AB2" s="3"/>
      <c r="AC2" s="3"/>
      <c r="AD2" s="3"/>
      <c r="AE2" s="4"/>
    </row>
    <row r="3" spans="1:32" ht="53.25" customHeight="1" thickBot="1">
      <c r="A3" s="541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3"/>
      <c r="V3" s="547" t="str">
        <f>'1 خلاصه مالی صورت‌حساب'!A2</f>
        <v>صورت حساب  شماره :</v>
      </c>
      <c r="W3" s="547"/>
      <c r="X3" s="548"/>
      <c r="Y3" s="3"/>
      <c r="Z3" s="3"/>
      <c r="AA3" s="3"/>
      <c r="AB3" s="3"/>
      <c r="AC3" s="3"/>
      <c r="AD3" s="3"/>
      <c r="AE3" s="3"/>
    </row>
    <row r="4" spans="1:32" ht="51" customHeight="1" thickBot="1">
      <c r="A4" s="544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6"/>
      <c r="V4" s="547" t="s">
        <v>173</v>
      </c>
      <c r="W4" s="547"/>
      <c r="X4" s="548"/>
      <c r="Y4" s="3"/>
      <c r="Z4" s="3"/>
      <c r="AA4" s="3"/>
      <c r="AB4" s="3"/>
      <c r="AC4" s="3"/>
      <c r="AD4" s="3"/>
      <c r="AE4" s="3"/>
    </row>
    <row r="5" spans="1:32" ht="60.75" customHeight="1">
      <c r="A5" s="602" t="s">
        <v>3</v>
      </c>
      <c r="B5" s="558" t="s">
        <v>4</v>
      </c>
      <c r="C5" s="558" t="s">
        <v>5</v>
      </c>
      <c r="D5" s="558" t="s">
        <v>0</v>
      </c>
      <c r="E5" s="558"/>
      <c r="F5" s="600" t="s">
        <v>193</v>
      </c>
      <c r="G5" s="600" t="s">
        <v>194</v>
      </c>
      <c r="H5" s="558" t="s">
        <v>90</v>
      </c>
      <c r="I5" s="558"/>
      <c r="J5" s="558"/>
      <c r="K5" s="558"/>
      <c r="L5" s="553" t="s">
        <v>7</v>
      </c>
      <c r="M5" s="553"/>
      <c r="N5" s="553" t="s">
        <v>8</v>
      </c>
      <c r="O5" s="553"/>
      <c r="P5" s="558" t="s">
        <v>89</v>
      </c>
      <c r="Q5" s="558"/>
      <c r="R5" s="558"/>
      <c r="S5" s="558"/>
      <c r="T5" s="558"/>
      <c r="U5" s="558"/>
      <c r="V5" s="558"/>
      <c r="W5" s="558"/>
      <c r="X5" s="559"/>
      <c r="Y5" s="197" t="s">
        <v>164</v>
      </c>
    </row>
    <row r="6" spans="1:32" ht="108" customHeight="1" thickBot="1">
      <c r="A6" s="603"/>
      <c r="B6" s="604"/>
      <c r="C6" s="604"/>
      <c r="D6" s="604"/>
      <c r="E6" s="604"/>
      <c r="F6" s="601"/>
      <c r="G6" s="601"/>
      <c r="H6" s="604"/>
      <c r="I6" s="604"/>
      <c r="J6" s="604"/>
      <c r="K6" s="604"/>
      <c r="L6" s="554"/>
      <c r="M6" s="554"/>
      <c r="N6" s="554"/>
      <c r="O6" s="554"/>
      <c r="P6" s="549" t="s">
        <v>9</v>
      </c>
      <c r="Q6" s="549"/>
      <c r="R6" s="549"/>
      <c r="S6" s="560" t="s">
        <v>10</v>
      </c>
      <c r="T6" s="560"/>
      <c r="U6" s="133" t="s">
        <v>97</v>
      </c>
      <c r="V6" s="133" t="s">
        <v>81</v>
      </c>
      <c r="W6" s="560" t="s">
        <v>166</v>
      </c>
      <c r="X6" s="561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69">
        <v>0</v>
      </c>
      <c r="E7" s="569"/>
      <c r="F7" s="206">
        <v>0</v>
      </c>
      <c r="G7" s="231">
        <f>F7*W7*$W$18</f>
        <v>0</v>
      </c>
      <c r="H7" s="570">
        <v>2513000</v>
      </c>
      <c r="I7" s="571"/>
      <c r="J7" s="571"/>
      <c r="K7" s="572"/>
      <c r="L7" s="555"/>
      <c r="M7" s="555"/>
      <c r="N7" s="555"/>
      <c r="O7" s="555"/>
      <c r="P7" s="565">
        <f>L7*H7</f>
        <v>0</v>
      </c>
      <c r="Q7" s="565"/>
      <c r="R7" s="565"/>
      <c r="S7" s="562">
        <f t="shared" ref="S7:S16" si="0">1.4*N7*H7</f>
        <v>0</v>
      </c>
      <c r="T7" s="562"/>
      <c r="U7" s="132">
        <v>1.6</v>
      </c>
      <c r="V7" s="184">
        <v>1.25</v>
      </c>
      <c r="W7" s="555">
        <f t="shared" ref="W7:W16" si="1">(P7+S7)*U7*V7</f>
        <v>0</v>
      </c>
      <c r="X7" s="563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73">
        <v>1</v>
      </c>
      <c r="E8" s="573"/>
      <c r="F8" s="207">
        <v>0</v>
      </c>
      <c r="G8" s="232">
        <f t="shared" ref="G8:G16" si="2">F8*W8*$W$18</f>
        <v>0</v>
      </c>
      <c r="H8" s="574">
        <v>2677000</v>
      </c>
      <c r="I8" s="575">
        <v>403</v>
      </c>
      <c r="J8" s="575">
        <v>403</v>
      </c>
      <c r="K8" s="576">
        <v>403</v>
      </c>
      <c r="L8" s="556"/>
      <c r="M8" s="556"/>
      <c r="N8" s="556"/>
      <c r="O8" s="556"/>
      <c r="P8" s="566">
        <f t="shared" ref="P8:P16" si="3">L8*H8</f>
        <v>0</v>
      </c>
      <c r="Q8" s="566"/>
      <c r="R8" s="566"/>
      <c r="S8" s="564">
        <f t="shared" si="0"/>
        <v>0</v>
      </c>
      <c r="T8" s="564"/>
      <c r="U8" s="127">
        <v>1.6</v>
      </c>
      <c r="V8" s="185">
        <v>1.25</v>
      </c>
      <c r="W8" s="556">
        <f t="shared" si="1"/>
        <v>0</v>
      </c>
      <c r="X8" s="582"/>
      <c r="Y8" s="1" t="s">
        <v>162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77">
        <v>2</v>
      </c>
      <c r="E9" s="577"/>
      <c r="F9" s="208">
        <v>0</v>
      </c>
      <c r="G9" s="233">
        <f t="shared" si="2"/>
        <v>0</v>
      </c>
      <c r="H9" s="578">
        <v>3009000</v>
      </c>
      <c r="I9" s="579">
        <v>453</v>
      </c>
      <c r="J9" s="579">
        <v>453</v>
      </c>
      <c r="K9" s="580">
        <v>453</v>
      </c>
      <c r="L9" s="557">
        <v>0</v>
      </c>
      <c r="M9" s="557"/>
      <c r="N9" s="557"/>
      <c r="O9" s="557"/>
      <c r="P9" s="550">
        <f t="shared" ref="P9" si="4">L9*H9</f>
        <v>0</v>
      </c>
      <c r="Q9" s="551"/>
      <c r="R9" s="552"/>
      <c r="S9" s="567">
        <f t="shared" si="0"/>
        <v>0</v>
      </c>
      <c r="T9" s="567"/>
      <c r="U9" s="128">
        <v>1.6</v>
      </c>
      <c r="V9" s="186">
        <v>1.25</v>
      </c>
      <c r="W9" s="557">
        <f>(P9+S9)*U9*V9</f>
        <v>0</v>
      </c>
      <c r="X9" s="568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73">
        <v>0</v>
      </c>
      <c r="E10" s="573"/>
      <c r="F10" s="207">
        <v>0</v>
      </c>
      <c r="G10" s="232">
        <f t="shared" si="2"/>
        <v>0</v>
      </c>
      <c r="H10" s="574">
        <v>3499000</v>
      </c>
      <c r="I10" s="575">
        <v>526</v>
      </c>
      <c r="J10" s="575">
        <v>526</v>
      </c>
      <c r="K10" s="576">
        <v>526</v>
      </c>
      <c r="L10" s="556">
        <v>200</v>
      </c>
      <c r="M10" s="556"/>
      <c r="N10" s="556"/>
      <c r="O10" s="556"/>
      <c r="P10" s="566">
        <f t="shared" si="3"/>
        <v>699800000</v>
      </c>
      <c r="Q10" s="566"/>
      <c r="R10" s="566"/>
      <c r="S10" s="564">
        <f t="shared" si="0"/>
        <v>0</v>
      </c>
      <c r="T10" s="564"/>
      <c r="U10" s="127">
        <v>1.6</v>
      </c>
      <c r="V10" s="185">
        <v>1.25</v>
      </c>
      <c r="W10" s="556">
        <f t="shared" si="1"/>
        <v>1399600000</v>
      </c>
      <c r="X10" s="582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77">
        <v>1</v>
      </c>
      <c r="E11" s="577"/>
      <c r="F11" s="208">
        <v>1</v>
      </c>
      <c r="G11" s="233">
        <f t="shared" si="2"/>
        <v>2209396000</v>
      </c>
      <c r="H11" s="578">
        <v>4153000</v>
      </c>
      <c r="I11" s="579">
        <v>625</v>
      </c>
      <c r="J11" s="579">
        <v>625</v>
      </c>
      <c r="K11" s="580">
        <v>625</v>
      </c>
      <c r="L11" s="557">
        <v>200</v>
      </c>
      <c r="M11" s="557"/>
      <c r="N11" s="557"/>
      <c r="O11" s="557"/>
      <c r="P11" s="581">
        <f t="shared" si="3"/>
        <v>830600000</v>
      </c>
      <c r="Q11" s="581"/>
      <c r="R11" s="581"/>
      <c r="S11" s="567">
        <f t="shared" si="0"/>
        <v>0</v>
      </c>
      <c r="T11" s="567"/>
      <c r="U11" s="128">
        <v>1.6</v>
      </c>
      <c r="V11" s="186">
        <v>1.25</v>
      </c>
      <c r="W11" s="557">
        <f t="shared" si="1"/>
        <v>1661200000</v>
      </c>
      <c r="X11" s="568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73">
        <v>0</v>
      </c>
      <c r="E12" s="573"/>
      <c r="F12" s="207">
        <v>0</v>
      </c>
      <c r="G12" s="232">
        <f t="shared" si="2"/>
        <v>0</v>
      </c>
      <c r="H12" s="574">
        <v>2023000</v>
      </c>
      <c r="I12" s="575">
        <v>305</v>
      </c>
      <c r="J12" s="575">
        <v>305</v>
      </c>
      <c r="K12" s="576">
        <v>305</v>
      </c>
      <c r="L12" s="556">
        <v>0</v>
      </c>
      <c r="M12" s="556"/>
      <c r="N12" s="556"/>
      <c r="O12" s="556"/>
      <c r="P12" s="566">
        <f t="shared" si="3"/>
        <v>0</v>
      </c>
      <c r="Q12" s="566"/>
      <c r="R12" s="566"/>
      <c r="S12" s="564">
        <f t="shared" si="0"/>
        <v>0</v>
      </c>
      <c r="T12" s="564"/>
      <c r="U12" s="127">
        <v>1.6</v>
      </c>
      <c r="V12" s="185">
        <v>1.25</v>
      </c>
      <c r="W12" s="556">
        <f t="shared" si="1"/>
        <v>0</v>
      </c>
      <c r="X12" s="582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77">
        <v>1</v>
      </c>
      <c r="E13" s="577"/>
      <c r="F13" s="208">
        <v>0</v>
      </c>
      <c r="G13" s="233">
        <f t="shared" si="2"/>
        <v>0</v>
      </c>
      <c r="H13" s="578">
        <v>2189000</v>
      </c>
      <c r="I13" s="579">
        <v>329</v>
      </c>
      <c r="J13" s="579">
        <v>329</v>
      </c>
      <c r="K13" s="580">
        <v>329</v>
      </c>
      <c r="L13" s="557">
        <v>0</v>
      </c>
      <c r="M13" s="557"/>
      <c r="N13" s="557"/>
      <c r="O13" s="557"/>
      <c r="P13" s="581">
        <f t="shared" si="3"/>
        <v>0</v>
      </c>
      <c r="Q13" s="581"/>
      <c r="R13" s="581"/>
      <c r="S13" s="567">
        <f t="shared" si="0"/>
        <v>0</v>
      </c>
      <c r="T13" s="567"/>
      <c r="U13" s="128">
        <v>1.6</v>
      </c>
      <c r="V13" s="186">
        <v>1.25</v>
      </c>
      <c r="W13" s="557">
        <f>(P13+S13)*U13*V13</f>
        <v>0</v>
      </c>
      <c r="X13" s="568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73">
        <v>0</v>
      </c>
      <c r="E14" s="573"/>
      <c r="F14" s="207">
        <v>0</v>
      </c>
      <c r="G14" s="232">
        <f t="shared" si="2"/>
        <v>0</v>
      </c>
      <c r="H14" s="574">
        <v>2405000</v>
      </c>
      <c r="I14" s="575">
        <v>329</v>
      </c>
      <c r="J14" s="575">
        <v>329</v>
      </c>
      <c r="K14" s="576">
        <v>329</v>
      </c>
      <c r="L14" s="556">
        <v>0</v>
      </c>
      <c r="M14" s="556"/>
      <c r="N14" s="556"/>
      <c r="O14" s="556"/>
      <c r="P14" s="566">
        <f t="shared" si="3"/>
        <v>0</v>
      </c>
      <c r="Q14" s="566"/>
      <c r="R14" s="566"/>
      <c r="S14" s="564">
        <f t="shared" si="0"/>
        <v>0</v>
      </c>
      <c r="T14" s="564"/>
      <c r="U14" s="127">
        <v>1.6</v>
      </c>
      <c r="V14" s="185">
        <v>1.25</v>
      </c>
      <c r="W14" s="556">
        <f t="shared" si="1"/>
        <v>0</v>
      </c>
      <c r="X14" s="582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77">
        <v>0</v>
      </c>
      <c r="E15" s="577"/>
      <c r="F15" s="208">
        <v>0</v>
      </c>
      <c r="G15" s="233">
        <f t="shared" si="2"/>
        <v>0</v>
      </c>
      <c r="H15" s="578">
        <v>2785000</v>
      </c>
      <c r="I15" s="579">
        <v>329</v>
      </c>
      <c r="J15" s="579">
        <v>329</v>
      </c>
      <c r="K15" s="580">
        <v>329</v>
      </c>
      <c r="L15" s="557">
        <v>0</v>
      </c>
      <c r="M15" s="557"/>
      <c r="N15" s="557"/>
      <c r="O15" s="557"/>
      <c r="P15" s="581">
        <f t="shared" si="3"/>
        <v>0</v>
      </c>
      <c r="Q15" s="581"/>
      <c r="R15" s="581"/>
      <c r="S15" s="567">
        <f t="shared" si="0"/>
        <v>0</v>
      </c>
      <c r="T15" s="567"/>
      <c r="U15" s="128">
        <v>1.6</v>
      </c>
      <c r="V15" s="186">
        <v>1.25</v>
      </c>
      <c r="W15" s="557">
        <f t="shared" si="1"/>
        <v>0</v>
      </c>
      <c r="X15" s="568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606">
        <v>0</v>
      </c>
      <c r="E16" s="606"/>
      <c r="F16" s="209">
        <v>0</v>
      </c>
      <c r="G16" s="234">
        <f t="shared" si="2"/>
        <v>0</v>
      </c>
      <c r="H16" s="574">
        <v>3116000</v>
      </c>
      <c r="I16" s="575">
        <v>329</v>
      </c>
      <c r="J16" s="575">
        <v>329</v>
      </c>
      <c r="K16" s="576">
        <v>329</v>
      </c>
      <c r="L16" s="583">
        <v>0</v>
      </c>
      <c r="M16" s="583"/>
      <c r="N16" s="583"/>
      <c r="O16" s="583"/>
      <c r="P16" s="607">
        <f t="shared" si="3"/>
        <v>0</v>
      </c>
      <c r="Q16" s="607"/>
      <c r="R16" s="607"/>
      <c r="S16" s="605">
        <f t="shared" si="0"/>
        <v>0</v>
      </c>
      <c r="T16" s="605"/>
      <c r="U16" s="125">
        <v>1.6</v>
      </c>
      <c r="V16" s="187">
        <v>1.25</v>
      </c>
      <c r="W16" s="583">
        <f t="shared" si="1"/>
        <v>0</v>
      </c>
      <c r="X16" s="608"/>
      <c r="AF16" s="7"/>
    </row>
    <row r="17" spans="1:32" ht="50.1" customHeight="1" thickBot="1">
      <c r="A17" s="598" t="s">
        <v>20</v>
      </c>
      <c r="B17" s="599"/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  <c r="U17" s="599"/>
      <c r="V17" s="599"/>
      <c r="W17" s="590">
        <f>SUM(W7:X16)</f>
        <v>3060800000</v>
      </c>
      <c r="X17" s="591"/>
      <c r="AF17" s="7"/>
    </row>
    <row r="18" spans="1:32" ht="50.1" customHeight="1" thickBot="1">
      <c r="A18" s="594" t="s">
        <v>100</v>
      </c>
      <c r="B18" s="595"/>
      <c r="C18" s="595"/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6">
        <v>1.33</v>
      </c>
      <c r="X18" s="597"/>
    </row>
    <row r="19" spans="1:32" ht="50.1" customHeight="1" thickBot="1">
      <c r="A19" s="598" t="s">
        <v>59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599"/>
      <c r="R19" s="599"/>
      <c r="S19" s="599"/>
      <c r="T19" s="599"/>
      <c r="U19" s="599"/>
      <c r="V19" s="599"/>
      <c r="W19" s="590">
        <f>W17*W18</f>
        <v>4070864000</v>
      </c>
      <c r="X19" s="591"/>
    </row>
    <row r="20" spans="1:32" ht="54.75" customHeight="1">
      <c r="A20" s="198" t="s">
        <v>177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86" t="s">
        <v>22</v>
      </c>
      <c r="M24" s="586"/>
      <c r="N24" s="586"/>
      <c r="O24" s="586"/>
      <c r="P24" s="586"/>
      <c r="Q24" s="586"/>
      <c r="R24" s="586"/>
      <c r="S24" s="586"/>
      <c r="T24" s="586"/>
      <c r="U24" s="28"/>
      <c r="V24" s="28"/>
      <c r="W24" s="588"/>
      <c r="X24" s="589"/>
    </row>
    <row r="25" spans="1:32" ht="60" hidden="1" customHeight="1" thickBot="1">
      <c r="L25" s="587" t="s">
        <v>21</v>
      </c>
      <c r="M25" s="587"/>
      <c r="N25" s="587"/>
      <c r="O25" s="587"/>
      <c r="P25" s="587"/>
      <c r="Q25" s="587"/>
      <c r="R25" s="587"/>
      <c r="S25" s="587"/>
      <c r="T25" s="587"/>
      <c r="U25" s="29"/>
      <c r="V25" s="29"/>
      <c r="W25" s="592"/>
      <c r="X25" s="593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84"/>
      <c r="X26" s="585"/>
    </row>
  </sheetData>
  <mergeCells count="98"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7:E7"/>
    <mergeCell ref="H7:K7"/>
    <mergeCell ref="D8:E8"/>
    <mergeCell ref="H8:K8"/>
    <mergeCell ref="P10:R10"/>
    <mergeCell ref="W7:X7"/>
    <mergeCell ref="S8:T8"/>
    <mergeCell ref="P7:R7"/>
    <mergeCell ref="P8:R8"/>
    <mergeCell ref="S9:T9"/>
    <mergeCell ref="W9:X9"/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zoomScaleNormal="100" zoomScaleSheetLayoutView="100" workbookViewId="0">
      <selection activeCell="D12" sqref="D12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609" t="s">
        <v>152</v>
      </c>
      <c r="B1" s="610"/>
      <c r="C1" s="610"/>
      <c r="D1" s="610"/>
      <c r="E1" s="610"/>
      <c r="F1" s="610"/>
      <c r="G1" s="613" t="str">
        <f>'1 خلاصه مالی صورت‌حساب'!E2</f>
        <v xml:space="preserve">دوره کارکرد : 1404/01/01   تا 1404/01/31 </v>
      </c>
      <c r="H1" s="614"/>
    </row>
    <row r="2" spans="1:9" ht="24.75" customHeight="1" thickBot="1">
      <c r="A2" s="611"/>
      <c r="B2" s="612"/>
      <c r="C2" s="612"/>
      <c r="D2" s="612"/>
      <c r="E2" s="612"/>
      <c r="F2" s="612"/>
      <c r="G2" s="615" t="str">
        <f>'1 خلاصه مالی صورت‌حساب'!A2</f>
        <v>صورت حساب  شماره :</v>
      </c>
      <c r="H2" s="616"/>
    </row>
    <row r="3" spans="1:9" ht="39.950000000000003" customHeight="1">
      <c r="A3" s="107" t="s">
        <v>2</v>
      </c>
      <c r="B3" s="106" t="s">
        <v>106</v>
      </c>
      <c r="C3" s="106" t="s">
        <v>108</v>
      </c>
      <c r="D3" s="148" t="s">
        <v>138</v>
      </c>
      <c r="E3" s="106" t="s">
        <v>4</v>
      </c>
      <c r="F3" s="106" t="s">
        <v>115</v>
      </c>
      <c r="G3" s="106" t="s">
        <v>107</v>
      </c>
      <c r="H3" s="108" t="s">
        <v>114</v>
      </c>
    </row>
    <row r="4" spans="1:9" ht="39.950000000000003" customHeight="1">
      <c r="A4" s="98">
        <v>1</v>
      </c>
      <c r="B4" s="102"/>
      <c r="C4" s="103" t="s">
        <v>109</v>
      </c>
      <c r="D4" s="103" t="s">
        <v>200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/>
      <c r="C5" s="103" t="s">
        <v>110</v>
      </c>
      <c r="D5" s="103" t="s">
        <v>201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/>
      <c r="C6" s="103" t="s">
        <v>111</v>
      </c>
      <c r="D6" s="103" t="s">
        <v>202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/>
      <c r="C7" s="103" t="s">
        <v>112</v>
      </c>
      <c r="D7" s="103" t="s">
        <v>203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/>
      <c r="C8" s="105" t="s">
        <v>113</v>
      </c>
      <c r="D8" s="105" t="s">
        <v>203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116</v>
      </c>
      <c r="H9" s="111"/>
    </row>
    <row r="10" spans="1:9" ht="22.5">
      <c r="A10" s="112" t="s">
        <v>176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tabSelected="1" view="pageBreakPreview" zoomScale="90" zoomScaleNormal="90" zoomScaleSheetLayoutView="90" workbookViewId="0">
      <selection activeCell="A7" sqref="A7:G7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28" t="s">
        <v>143</v>
      </c>
      <c r="B1" s="629"/>
      <c r="C1" s="629"/>
      <c r="D1" s="629"/>
      <c r="E1" s="630"/>
      <c r="F1" s="621" t="str">
        <f>'1 خلاصه مالی صورت‌حساب'!E2</f>
        <v xml:space="preserve">دوره کارکرد : 1404/01/01   تا 1404/01/31 </v>
      </c>
      <c r="G1" s="622"/>
    </row>
    <row r="2" spans="1:15" ht="30" customHeight="1" thickBot="1">
      <c r="A2" s="631"/>
      <c r="B2" s="632"/>
      <c r="C2" s="632"/>
      <c r="D2" s="632"/>
      <c r="E2" s="633"/>
      <c r="F2" s="623" t="str">
        <f>'1 خلاصه مالی صورت‌حساب'!A2</f>
        <v>صورت حساب  شماره :</v>
      </c>
      <c r="G2" s="624"/>
    </row>
    <row r="3" spans="1:15" ht="30.75" customHeight="1" thickBot="1">
      <c r="A3" s="634"/>
      <c r="B3" s="635"/>
      <c r="C3" s="635"/>
      <c r="D3" s="635"/>
      <c r="E3" s="636"/>
      <c r="F3" s="623" t="s">
        <v>172</v>
      </c>
      <c r="G3" s="624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66.599999999999994" customHeight="1">
      <c r="A5" s="156" t="s">
        <v>149</v>
      </c>
      <c r="B5" s="149" t="s">
        <v>195</v>
      </c>
      <c r="C5" s="150" t="s">
        <v>144</v>
      </c>
      <c r="D5" s="150" t="s">
        <v>145</v>
      </c>
      <c r="E5" s="150" t="s">
        <v>146</v>
      </c>
      <c r="F5" s="150" t="s">
        <v>147</v>
      </c>
      <c r="G5" s="151" t="s">
        <v>148</v>
      </c>
      <c r="H5" s="47" t="s">
        <v>154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5">
        <v>2850000000</v>
      </c>
      <c r="C6" s="152">
        <v>5434920000</v>
      </c>
      <c r="D6" s="152">
        <v>17129022390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25" t="s">
        <v>182</v>
      </c>
      <c r="B7" s="626"/>
      <c r="C7" s="626"/>
      <c r="D7" s="626"/>
      <c r="E7" s="626"/>
      <c r="F7" s="626"/>
      <c r="G7" s="627"/>
      <c r="H7" s="20"/>
      <c r="I7" s="20"/>
      <c r="J7" s="20"/>
      <c r="K7" s="20"/>
      <c r="L7" s="20"/>
      <c r="M7" s="21"/>
    </row>
    <row r="8" spans="1:15" ht="96.75" customHeight="1">
      <c r="A8" s="40" t="s">
        <v>140</v>
      </c>
      <c r="B8" s="153" t="s">
        <v>141</v>
      </c>
      <c r="C8" s="153" t="s">
        <v>83</v>
      </c>
      <c r="D8" s="153" t="s">
        <v>58</v>
      </c>
      <c r="E8" s="153" t="s">
        <v>36</v>
      </c>
      <c r="F8" s="153" t="s">
        <v>180</v>
      </c>
      <c r="G8" s="160" t="s">
        <v>178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وضعیت'!O52</f>
        <v>212267568383.14999</v>
      </c>
      <c r="B9" s="134">
        <f>'ورودی محاسبات صورت وضعیت'!O53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387422500</v>
      </c>
      <c r="G9" s="161">
        <f>IF(F9&gt;E9,E9+0.35*(F9-E9),F9+0.35*(E9-F9))</f>
        <v>316472012.60000002</v>
      </c>
      <c r="H9" s="13"/>
      <c r="I9" s="13"/>
      <c r="J9" s="13"/>
      <c r="K9" s="13"/>
      <c r="L9" s="13"/>
    </row>
    <row r="10" spans="1:15" ht="21" customHeight="1" thickBot="1">
      <c r="A10" s="625" t="s">
        <v>183</v>
      </c>
      <c r="B10" s="626"/>
      <c r="C10" s="626"/>
      <c r="D10" s="626"/>
      <c r="E10" s="626"/>
      <c r="F10" s="626"/>
      <c r="G10" s="627"/>
    </row>
    <row r="11" spans="1:15" s="19" customFormat="1" ht="73.5" customHeight="1">
      <c r="A11" s="40" t="s">
        <v>140</v>
      </c>
      <c r="B11" s="153" t="s">
        <v>141</v>
      </c>
      <c r="C11" s="153" t="s">
        <v>83</v>
      </c>
      <c r="D11" s="617" t="s">
        <v>98</v>
      </c>
      <c r="E11" s="618"/>
      <c r="F11" s="153" t="s">
        <v>181</v>
      </c>
      <c r="G11" s="160" t="s">
        <v>179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وضعیت'!O52</f>
        <v>212267568383.14999</v>
      </c>
      <c r="B12" s="134">
        <f>'ورودی محاسبات صورت وضعیت'!O53</f>
        <v>199476918944.47</v>
      </c>
      <c r="C12" s="134">
        <f>A12-B12</f>
        <v>12790649438.679993</v>
      </c>
      <c r="D12" s="619">
        <f>8*((C12/1000)^0.64)*E6*F6*G6*1.792*1000</f>
        <v>1348096218.4766107</v>
      </c>
      <c r="E12" s="620"/>
      <c r="F12" s="134">
        <f>'3 خدمات فنی کارگاهی'!W19</f>
        <v>4070864000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2437203331.0859661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zoomScale="55" zoomScaleNormal="90" zoomScaleSheetLayoutView="55" workbookViewId="0">
      <selection activeCell="H5" sqref="H5:K8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38" t="s">
        <v>84</v>
      </c>
      <c r="B1" s="539"/>
      <c r="C1" s="539"/>
      <c r="D1" s="539"/>
      <c r="E1" s="539"/>
      <c r="F1" s="539"/>
      <c r="G1" s="539"/>
      <c r="H1" s="539"/>
      <c r="I1" s="539"/>
      <c r="J1" s="539"/>
      <c r="K1" s="540"/>
      <c r="L1" s="425" t="str">
        <f>'1 خلاصه مالی صورت‌حساب'!E2</f>
        <v xml:space="preserve">دوره کارکرد : 1404/01/01   تا 1404/01/31 </v>
      </c>
      <c r="M1" s="426"/>
      <c r="N1" s="426"/>
      <c r="O1" s="426"/>
      <c r="P1" s="426"/>
      <c r="Q1" s="426"/>
      <c r="R1" s="427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41"/>
      <c r="B2" s="542"/>
      <c r="C2" s="542"/>
      <c r="D2" s="542"/>
      <c r="E2" s="542"/>
      <c r="F2" s="542"/>
      <c r="G2" s="542"/>
      <c r="H2" s="542"/>
      <c r="I2" s="542"/>
      <c r="J2" s="542"/>
      <c r="K2" s="543"/>
      <c r="L2" s="425" t="str">
        <f>'1 خلاصه مالی صورت‌حساب'!A2</f>
        <v>صورت حساب  شماره :</v>
      </c>
      <c r="M2" s="426"/>
      <c r="N2" s="426"/>
      <c r="O2" s="426"/>
      <c r="P2" s="426"/>
      <c r="Q2" s="426"/>
      <c r="R2" s="427"/>
      <c r="U2" s="3"/>
      <c r="V2" s="3"/>
      <c r="W2" s="3"/>
      <c r="X2" s="3"/>
      <c r="Y2" s="3"/>
      <c r="Z2" s="3"/>
      <c r="AA2" s="3"/>
    </row>
    <row r="3" spans="1:27" ht="64.5" customHeight="1" thickBot="1">
      <c r="A3" s="544"/>
      <c r="B3" s="545"/>
      <c r="C3" s="545"/>
      <c r="D3" s="545"/>
      <c r="E3" s="545"/>
      <c r="F3" s="545"/>
      <c r="G3" s="545"/>
      <c r="H3" s="545"/>
      <c r="I3" s="545"/>
      <c r="J3" s="545"/>
      <c r="K3" s="546"/>
      <c r="L3" s="425" t="s">
        <v>171</v>
      </c>
      <c r="M3" s="426"/>
      <c r="N3" s="426"/>
      <c r="O3" s="426"/>
      <c r="P3" s="426"/>
      <c r="Q3" s="426"/>
      <c r="R3" s="427"/>
    </row>
    <row r="4" spans="1:27" ht="39.950000000000003" customHeight="1" thickBot="1">
      <c r="A4" s="176" t="s">
        <v>3</v>
      </c>
      <c r="B4" s="600" t="s">
        <v>11</v>
      </c>
      <c r="C4" s="600"/>
      <c r="D4" s="600"/>
      <c r="E4" s="600"/>
      <c r="F4" s="600"/>
      <c r="G4" s="600"/>
      <c r="H4" s="657" t="s">
        <v>6</v>
      </c>
      <c r="I4" s="657"/>
      <c r="J4" s="657"/>
      <c r="K4" s="657"/>
      <c r="L4" s="658" t="s">
        <v>0</v>
      </c>
      <c r="M4" s="658"/>
      <c r="N4" s="658"/>
      <c r="O4" s="658"/>
      <c r="P4" s="658" t="s">
        <v>1</v>
      </c>
      <c r="Q4" s="658"/>
      <c r="R4" s="659"/>
    </row>
    <row r="5" spans="1:27" ht="39.950000000000003" customHeight="1">
      <c r="A5" s="12">
        <v>501010000</v>
      </c>
      <c r="B5" s="652" t="s">
        <v>12</v>
      </c>
      <c r="C5" s="652"/>
      <c r="D5" s="652"/>
      <c r="E5" s="652"/>
      <c r="F5" s="652"/>
      <c r="G5" s="652"/>
      <c r="H5" s="653">
        <v>174300000</v>
      </c>
      <c r="I5" s="653"/>
      <c r="J5" s="653"/>
      <c r="K5" s="653"/>
      <c r="L5" s="654">
        <v>0</v>
      </c>
      <c r="M5" s="654"/>
      <c r="N5" s="654"/>
      <c r="O5" s="654"/>
      <c r="P5" s="655">
        <f t="shared" ref="P5:P12" si="0">H5*L5</f>
        <v>0</v>
      </c>
      <c r="Q5" s="655"/>
      <c r="R5" s="656"/>
      <c r="S5" s="49" t="s">
        <v>95</v>
      </c>
      <c r="T5" s="27"/>
    </row>
    <row r="6" spans="1:27" ht="39.950000000000003" customHeight="1">
      <c r="A6" s="10">
        <v>501020000</v>
      </c>
      <c r="B6" s="637" t="s">
        <v>13</v>
      </c>
      <c r="C6" s="637">
        <v>2</v>
      </c>
      <c r="D6" s="637"/>
      <c r="E6" s="637"/>
      <c r="F6" s="637"/>
      <c r="G6" s="637"/>
      <c r="H6" s="638">
        <v>43540000</v>
      </c>
      <c r="I6" s="638"/>
      <c r="J6" s="638"/>
      <c r="K6" s="638"/>
      <c r="L6" s="639">
        <v>0</v>
      </c>
      <c r="M6" s="639"/>
      <c r="N6" s="639"/>
      <c r="O6" s="639"/>
      <c r="P6" s="640">
        <f t="shared" si="0"/>
        <v>0</v>
      </c>
      <c r="Q6" s="640"/>
      <c r="R6" s="641"/>
      <c r="S6" s="49" t="s">
        <v>95</v>
      </c>
    </row>
    <row r="7" spans="1:27" ht="39.950000000000003" customHeight="1">
      <c r="A7" s="10">
        <v>501030000</v>
      </c>
      <c r="B7" s="637" t="s">
        <v>19</v>
      </c>
      <c r="C7" s="637">
        <v>3</v>
      </c>
      <c r="D7" s="637"/>
      <c r="E7" s="637"/>
      <c r="F7" s="637"/>
      <c r="G7" s="637"/>
      <c r="H7" s="638">
        <v>21140000</v>
      </c>
      <c r="I7" s="638"/>
      <c r="J7" s="638"/>
      <c r="K7" s="638"/>
      <c r="L7" s="639">
        <v>0</v>
      </c>
      <c r="M7" s="639"/>
      <c r="N7" s="639"/>
      <c r="O7" s="639"/>
      <c r="P7" s="640">
        <f t="shared" si="0"/>
        <v>0</v>
      </c>
      <c r="Q7" s="640"/>
      <c r="R7" s="641"/>
      <c r="S7" s="49" t="s">
        <v>95</v>
      </c>
      <c r="T7" s="27"/>
    </row>
    <row r="8" spans="1:27" ht="39.950000000000003" customHeight="1">
      <c r="A8" s="10">
        <v>501040000</v>
      </c>
      <c r="B8" s="637" t="s">
        <v>14</v>
      </c>
      <c r="C8" s="637">
        <v>4</v>
      </c>
      <c r="D8" s="637"/>
      <c r="E8" s="637"/>
      <c r="F8" s="637"/>
      <c r="G8" s="637"/>
      <c r="H8" s="638">
        <v>323540000</v>
      </c>
      <c r="I8" s="638"/>
      <c r="J8" s="638"/>
      <c r="K8" s="638"/>
      <c r="L8" s="639">
        <v>0</v>
      </c>
      <c r="M8" s="639"/>
      <c r="N8" s="639"/>
      <c r="O8" s="639"/>
      <c r="P8" s="640">
        <f t="shared" si="0"/>
        <v>0</v>
      </c>
      <c r="Q8" s="640"/>
      <c r="R8" s="641"/>
      <c r="S8" s="49" t="s">
        <v>96</v>
      </c>
    </row>
    <row r="9" spans="1:27" ht="39.950000000000003" customHeight="1">
      <c r="A9" s="10">
        <v>501050000</v>
      </c>
      <c r="B9" s="637" t="s">
        <v>15</v>
      </c>
      <c r="C9" s="637">
        <v>5</v>
      </c>
      <c r="D9" s="637"/>
      <c r="E9" s="637"/>
      <c r="F9" s="637"/>
      <c r="G9" s="637"/>
      <c r="H9" s="638">
        <v>0</v>
      </c>
      <c r="I9" s="638"/>
      <c r="J9" s="638"/>
      <c r="K9" s="638"/>
      <c r="L9" s="639">
        <v>0</v>
      </c>
      <c r="M9" s="639"/>
      <c r="N9" s="639"/>
      <c r="O9" s="639"/>
      <c r="P9" s="640">
        <f t="shared" si="0"/>
        <v>0</v>
      </c>
      <c r="Q9" s="640"/>
      <c r="R9" s="641"/>
      <c r="S9" s="49" t="s">
        <v>96</v>
      </c>
    </row>
    <row r="10" spans="1:27" ht="39.950000000000003" customHeight="1">
      <c r="A10" s="10">
        <v>501060000</v>
      </c>
      <c r="B10" s="637" t="s">
        <v>16</v>
      </c>
      <c r="C10" s="637">
        <v>1</v>
      </c>
      <c r="D10" s="637"/>
      <c r="E10" s="637"/>
      <c r="F10" s="637"/>
      <c r="G10" s="637"/>
      <c r="H10" s="638">
        <v>0</v>
      </c>
      <c r="I10" s="638"/>
      <c r="J10" s="638"/>
      <c r="K10" s="638"/>
      <c r="L10" s="639">
        <v>0</v>
      </c>
      <c r="M10" s="639"/>
      <c r="N10" s="639"/>
      <c r="O10" s="639"/>
      <c r="P10" s="640">
        <f t="shared" si="0"/>
        <v>0</v>
      </c>
      <c r="Q10" s="640"/>
      <c r="R10" s="641"/>
      <c r="S10" s="49" t="s">
        <v>96</v>
      </c>
    </row>
    <row r="11" spans="1:27" ht="39.950000000000003" customHeight="1">
      <c r="A11" s="10">
        <v>501070000</v>
      </c>
      <c r="B11" s="637" t="s">
        <v>17</v>
      </c>
      <c r="C11" s="637">
        <v>2</v>
      </c>
      <c r="D11" s="637"/>
      <c r="E11" s="637"/>
      <c r="F11" s="637"/>
      <c r="G11" s="637"/>
      <c r="H11" s="638">
        <v>0</v>
      </c>
      <c r="I11" s="638"/>
      <c r="J11" s="638"/>
      <c r="K11" s="638"/>
      <c r="L11" s="639">
        <v>0</v>
      </c>
      <c r="M11" s="639"/>
      <c r="N11" s="639"/>
      <c r="O11" s="639"/>
      <c r="P11" s="640">
        <f t="shared" si="0"/>
        <v>0</v>
      </c>
      <c r="Q11" s="640"/>
      <c r="R11" s="641"/>
      <c r="S11" s="49" t="s">
        <v>96</v>
      </c>
    </row>
    <row r="12" spans="1:27" ht="39.950000000000003" customHeight="1" thickBot="1">
      <c r="A12" s="11">
        <v>501080000</v>
      </c>
      <c r="B12" s="642" t="s">
        <v>18</v>
      </c>
      <c r="C12" s="642">
        <v>3</v>
      </c>
      <c r="D12" s="642"/>
      <c r="E12" s="642"/>
      <c r="F12" s="642"/>
      <c r="G12" s="642"/>
      <c r="H12" s="648">
        <v>0</v>
      </c>
      <c r="I12" s="648"/>
      <c r="J12" s="648"/>
      <c r="K12" s="648"/>
      <c r="L12" s="649">
        <v>0</v>
      </c>
      <c r="M12" s="649"/>
      <c r="N12" s="649"/>
      <c r="O12" s="649"/>
      <c r="P12" s="650">
        <f t="shared" si="0"/>
        <v>0</v>
      </c>
      <c r="Q12" s="650"/>
      <c r="R12" s="651"/>
      <c r="S12" s="49" t="s">
        <v>96</v>
      </c>
    </row>
    <row r="13" spans="1:27" ht="47.25" customHeight="1" thickBot="1">
      <c r="A13" s="643" t="s">
        <v>184</v>
      </c>
      <c r="B13" s="644"/>
      <c r="C13" s="644"/>
      <c r="D13" s="644"/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5"/>
      <c r="P13" s="646">
        <f>SUM(P5:R12)</f>
        <v>0</v>
      </c>
      <c r="Q13" s="646"/>
      <c r="R13" s="647"/>
    </row>
  </sheetData>
  <mergeCells count="42">
    <mergeCell ref="L1:R1"/>
    <mergeCell ref="L2:R2"/>
    <mergeCell ref="B4:G4"/>
    <mergeCell ref="H4:K4"/>
    <mergeCell ref="L4:O4"/>
    <mergeCell ref="P4:R4"/>
    <mergeCell ref="A1:K3"/>
    <mergeCell ref="L3:R3"/>
    <mergeCell ref="B5:G5"/>
    <mergeCell ref="H5:K5"/>
    <mergeCell ref="L5:O5"/>
    <mergeCell ref="P5:R5"/>
    <mergeCell ref="P7:R7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8:G8"/>
    <mergeCell ref="H8:K8"/>
    <mergeCell ref="L8:O8"/>
    <mergeCell ref="P8:R8"/>
    <mergeCell ref="B9:G9"/>
    <mergeCell ref="B11:G11"/>
    <mergeCell ref="H11:K11"/>
    <mergeCell ref="L11:O11"/>
    <mergeCell ref="P11:R11"/>
    <mergeCell ref="B10:G10"/>
    <mergeCell ref="H10:K10"/>
    <mergeCell ref="L10:O10"/>
    <mergeCell ref="P10:R10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5810</Zabeteh>
    <dlcnt xmlns="57cc77e0-a3cd-49e6-ad4b-89ed8cc4558b">6428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customXml/itemProps2.xml><?xml version="1.0" encoding="utf-8"?>
<ds:datastoreItem xmlns:ds="http://schemas.openxmlformats.org/officeDocument/2006/customXml" ds:itemID="{C489B325-F9DD-4AB9-8771-95E63DFFC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d1fc-795f-4e02-92df-78b00a4d52ea"/>
    <ds:schemaRef ds:uri="57cc77e0-a3cd-49e6-ad4b-89ed8cc45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نظارت- 1404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2025-08-04T05:06:44Z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